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70" i="1" l="1"/>
  <c r="H170" i="1"/>
  <c r="I170" i="1"/>
  <c r="J170" i="1"/>
  <c r="L41" i="1"/>
  <c r="G53" i="1" l="1"/>
  <c r="G43" i="1"/>
  <c r="J153" i="1" l="1"/>
  <c r="I153" i="1"/>
  <c r="H153" i="1"/>
  <c r="G153" i="1"/>
  <c r="J48" i="1"/>
  <c r="I48" i="1"/>
  <c r="H48" i="1"/>
  <c r="G48" i="1"/>
  <c r="J69" i="1" l="1"/>
  <c r="H69" i="1"/>
  <c r="G69" i="1"/>
  <c r="G62" i="1"/>
  <c r="J52" i="1"/>
  <c r="I52" i="1"/>
  <c r="H52" i="1"/>
  <c r="G52" i="1"/>
  <c r="H33" i="1"/>
  <c r="L137" i="1" l="1"/>
  <c r="L22" i="1" l="1"/>
  <c r="H109" i="1" l="1"/>
  <c r="H108" i="1"/>
  <c r="J169" i="1"/>
  <c r="I169" i="1"/>
  <c r="H169" i="1"/>
  <c r="G169" i="1"/>
  <c r="J167" i="1"/>
  <c r="I167" i="1"/>
  <c r="H167" i="1"/>
  <c r="G167" i="1"/>
  <c r="J162" i="1"/>
  <c r="I162" i="1"/>
  <c r="H162" i="1"/>
  <c r="G162" i="1"/>
  <c r="J161" i="1"/>
  <c r="I161" i="1"/>
  <c r="H161" i="1"/>
  <c r="G161" i="1"/>
  <c r="J159" i="1"/>
  <c r="I159" i="1"/>
  <c r="H159" i="1"/>
  <c r="G159" i="1"/>
  <c r="J158" i="1"/>
  <c r="I158" i="1"/>
  <c r="H158" i="1"/>
  <c r="G158" i="1"/>
  <c r="J157" i="1"/>
  <c r="I157" i="1"/>
  <c r="H157" i="1"/>
  <c r="G157" i="1"/>
  <c r="J156" i="1"/>
  <c r="I156" i="1"/>
  <c r="H156" i="1"/>
  <c r="G156" i="1"/>
  <c r="J152" i="1"/>
  <c r="I152" i="1"/>
  <c r="H152" i="1"/>
  <c r="G152" i="1"/>
  <c r="J151" i="1"/>
  <c r="I151" i="1"/>
  <c r="H151" i="1"/>
  <c r="G151" i="1"/>
  <c r="J144" i="1"/>
  <c r="I144" i="1"/>
  <c r="H144" i="1"/>
  <c r="G144" i="1"/>
  <c r="J143" i="1"/>
  <c r="I143" i="1"/>
  <c r="H143" i="1"/>
  <c r="G143" i="1"/>
  <c r="J141" i="1"/>
  <c r="I141" i="1"/>
  <c r="H141" i="1"/>
  <c r="G141" i="1"/>
  <c r="J140" i="1"/>
  <c r="I140" i="1"/>
  <c r="H140" i="1"/>
  <c r="G140" i="1"/>
  <c r="J139" i="1"/>
  <c r="I139" i="1"/>
  <c r="H139" i="1"/>
  <c r="G139" i="1"/>
  <c r="J138" i="1"/>
  <c r="I138" i="1"/>
  <c r="H138" i="1"/>
  <c r="G138" i="1"/>
  <c r="J135" i="1"/>
  <c r="I135" i="1"/>
  <c r="H135" i="1"/>
  <c r="G135" i="1"/>
  <c r="J134" i="1"/>
  <c r="I134" i="1"/>
  <c r="H134" i="1"/>
  <c r="G134" i="1"/>
  <c r="J132" i="1"/>
  <c r="I132" i="1"/>
  <c r="H132" i="1"/>
  <c r="G132" i="1"/>
  <c r="J131" i="1"/>
  <c r="I131" i="1"/>
  <c r="H131" i="1"/>
  <c r="G131" i="1"/>
  <c r="J126" i="1"/>
  <c r="I126" i="1"/>
  <c r="H126" i="1"/>
  <c r="H125" i="1"/>
  <c r="G117" i="1"/>
  <c r="H86" i="1" l="1"/>
  <c r="G86" i="1"/>
  <c r="J28" i="1"/>
  <c r="I28" i="1"/>
  <c r="H28" i="1"/>
  <c r="G28" i="1"/>
  <c r="J27" i="1"/>
  <c r="I27" i="1"/>
  <c r="H27" i="1"/>
  <c r="G27" i="1"/>
  <c r="J87" i="1"/>
  <c r="I87" i="1"/>
  <c r="H87" i="1"/>
  <c r="G87" i="1"/>
  <c r="J86" i="1"/>
  <c r="J90" i="1"/>
  <c r="I90" i="1"/>
  <c r="H90" i="1"/>
  <c r="G90" i="1"/>
  <c r="J89" i="1"/>
  <c r="I89" i="1"/>
  <c r="H89" i="1"/>
  <c r="G89" i="1"/>
  <c r="I86" i="1"/>
  <c r="J85" i="1"/>
  <c r="I85" i="1"/>
  <c r="H85" i="1"/>
  <c r="G85" i="1"/>
  <c r="J74" i="1"/>
  <c r="I74" i="1"/>
  <c r="H74" i="1"/>
  <c r="G74" i="1"/>
  <c r="J73" i="1"/>
  <c r="I73" i="1"/>
  <c r="H73" i="1"/>
  <c r="G73" i="1"/>
  <c r="J71" i="1"/>
  <c r="I71" i="1"/>
  <c r="H71" i="1"/>
  <c r="G71" i="1"/>
  <c r="J70" i="1"/>
  <c r="I70" i="1"/>
  <c r="H70" i="1"/>
  <c r="G70" i="1"/>
  <c r="I69" i="1"/>
  <c r="J68" i="1"/>
  <c r="I68" i="1"/>
  <c r="H68" i="1"/>
  <c r="G68" i="1"/>
  <c r="J62" i="1"/>
  <c r="I62" i="1"/>
  <c r="H62" i="1"/>
  <c r="J43" i="1"/>
  <c r="I43" i="1"/>
  <c r="H43" i="1"/>
  <c r="J44" i="1"/>
  <c r="I44" i="1"/>
  <c r="H44" i="1"/>
  <c r="G44" i="1"/>
  <c r="J65" i="1"/>
  <c r="I65" i="1"/>
  <c r="H65" i="1"/>
  <c r="G65" i="1"/>
  <c r="J64" i="1"/>
  <c r="I64" i="1"/>
  <c r="H64" i="1"/>
  <c r="G64" i="1"/>
  <c r="J57" i="1"/>
  <c r="I57" i="1"/>
  <c r="H57" i="1"/>
  <c r="G57" i="1"/>
  <c r="J56" i="1"/>
  <c r="I56" i="1"/>
  <c r="H56" i="1"/>
  <c r="G56" i="1"/>
  <c r="J54" i="1"/>
  <c r="I54" i="1"/>
  <c r="H54" i="1"/>
  <c r="G54" i="1"/>
  <c r="J53" i="1"/>
  <c r="I53" i="1"/>
  <c r="H53" i="1"/>
  <c r="J51" i="1"/>
  <c r="I51" i="1"/>
  <c r="H51" i="1"/>
  <c r="G51" i="1"/>
  <c r="J47" i="1"/>
  <c r="I47" i="1"/>
  <c r="H47" i="1"/>
  <c r="G47" i="1"/>
  <c r="J46" i="1"/>
  <c r="I46" i="1"/>
  <c r="H46" i="1"/>
  <c r="G46" i="1"/>
  <c r="J38" i="1"/>
  <c r="I38" i="1"/>
  <c r="H38" i="1"/>
  <c r="G38" i="1"/>
  <c r="J37" i="1"/>
  <c r="I37" i="1"/>
  <c r="H37" i="1"/>
  <c r="G37" i="1"/>
  <c r="J35" i="1"/>
  <c r="H35" i="1"/>
  <c r="G35" i="1"/>
  <c r="J34" i="1"/>
  <c r="H34" i="1"/>
  <c r="G34" i="1"/>
  <c r="G32" i="1"/>
  <c r="J24" i="1"/>
  <c r="I24" i="1"/>
  <c r="H24" i="1"/>
  <c r="G24" i="1"/>
  <c r="J19" i="1"/>
  <c r="I19" i="1"/>
  <c r="H19" i="1"/>
  <c r="G19" i="1"/>
  <c r="J18" i="1"/>
  <c r="I18" i="1"/>
  <c r="H18" i="1"/>
  <c r="G18" i="1"/>
  <c r="J16" i="1"/>
  <c r="I16" i="1"/>
  <c r="H16" i="1"/>
  <c r="G16" i="1"/>
  <c r="J15" i="1"/>
  <c r="I15" i="1"/>
  <c r="H15" i="1"/>
  <c r="G15" i="1"/>
  <c r="J14" i="1"/>
  <c r="I14" i="1"/>
  <c r="G14" i="1"/>
  <c r="B182" i="1" l="1"/>
  <c r="A182" i="1"/>
  <c r="L181" i="1"/>
  <c r="J181" i="1"/>
  <c r="I181" i="1"/>
  <c r="H181" i="1"/>
  <c r="G181" i="1"/>
  <c r="F181" i="1"/>
  <c r="B173" i="1"/>
  <c r="A173" i="1"/>
  <c r="L172" i="1"/>
  <c r="J172" i="1"/>
  <c r="I172" i="1"/>
  <c r="I182" i="1" s="1"/>
  <c r="H172" i="1"/>
  <c r="G172" i="1"/>
  <c r="F172" i="1"/>
  <c r="B166" i="1"/>
  <c r="A166" i="1"/>
  <c r="L165" i="1"/>
  <c r="J165" i="1"/>
  <c r="I165" i="1"/>
  <c r="H165" i="1"/>
  <c r="G165" i="1"/>
  <c r="F165" i="1"/>
  <c r="B156" i="1"/>
  <c r="A156" i="1"/>
  <c r="L155" i="1"/>
  <c r="J155" i="1"/>
  <c r="I155" i="1"/>
  <c r="I166" i="1" s="1"/>
  <c r="H155" i="1"/>
  <c r="G155" i="1"/>
  <c r="F155" i="1"/>
  <c r="B148" i="1"/>
  <c r="A148" i="1"/>
  <c r="L147" i="1"/>
  <c r="L148" i="1" s="1"/>
  <c r="J147" i="1"/>
  <c r="I147" i="1"/>
  <c r="H147" i="1"/>
  <c r="G147" i="1"/>
  <c r="F147" i="1"/>
  <c r="B138" i="1"/>
  <c r="A138" i="1"/>
  <c r="J137" i="1"/>
  <c r="I137" i="1"/>
  <c r="H137" i="1"/>
  <c r="G137" i="1"/>
  <c r="F137" i="1"/>
  <c r="B130" i="1"/>
  <c r="A130" i="1"/>
  <c r="L129" i="1"/>
  <c r="J129" i="1"/>
  <c r="I129" i="1"/>
  <c r="H129" i="1"/>
  <c r="G129" i="1"/>
  <c r="F129" i="1"/>
  <c r="B120" i="1"/>
  <c r="A120" i="1"/>
  <c r="L119" i="1"/>
  <c r="J119" i="1"/>
  <c r="I119" i="1"/>
  <c r="H119" i="1"/>
  <c r="G119" i="1"/>
  <c r="F119" i="1"/>
  <c r="B113" i="1"/>
  <c r="A113" i="1"/>
  <c r="L112" i="1"/>
  <c r="J112" i="1"/>
  <c r="I112" i="1"/>
  <c r="H112" i="1"/>
  <c r="G112" i="1"/>
  <c r="F112" i="1"/>
  <c r="B103" i="1"/>
  <c r="A103" i="1"/>
  <c r="L102" i="1"/>
  <c r="J102" i="1"/>
  <c r="I102" i="1"/>
  <c r="H102" i="1"/>
  <c r="G102" i="1"/>
  <c r="F102" i="1"/>
  <c r="B94" i="1"/>
  <c r="A94" i="1"/>
  <c r="L93" i="1"/>
  <c r="J93" i="1"/>
  <c r="I93" i="1"/>
  <c r="H93" i="1"/>
  <c r="G93" i="1"/>
  <c r="F93" i="1"/>
  <c r="B85" i="1"/>
  <c r="A85" i="1"/>
  <c r="L84" i="1"/>
  <c r="J84" i="1"/>
  <c r="I84" i="1"/>
  <c r="H84" i="1"/>
  <c r="H94" i="1" s="1"/>
  <c r="G84" i="1"/>
  <c r="F84" i="1"/>
  <c r="B78" i="1"/>
  <c r="A78" i="1"/>
  <c r="L77" i="1"/>
  <c r="J77" i="1"/>
  <c r="I77" i="1"/>
  <c r="H77" i="1"/>
  <c r="G77" i="1"/>
  <c r="F77" i="1"/>
  <c r="B68" i="1"/>
  <c r="A68" i="1"/>
  <c r="L67" i="1"/>
  <c r="J67" i="1"/>
  <c r="I67" i="1"/>
  <c r="H67" i="1"/>
  <c r="G67" i="1"/>
  <c r="F67" i="1"/>
  <c r="B61" i="1"/>
  <c r="A61" i="1"/>
  <c r="L60" i="1"/>
  <c r="J60" i="1"/>
  <c r="I60" i="1"/>
  <c r="H60" i="1"/>
  <c r="G60" i="1"/>
  <c r="F60" i="1"/>
  <c r="B51" i="1"/>
  <c r="A51" i="1"/>
  <c r="L50" i="1"/>
  <c r="J50" i="1"/>
  <c r="I50" i="1"/>
  <c r="H50" i="1"/>
  <c r="H61" i="1" s="1"/>
  <c r="G50" i="1"/>
  <c r="F50" i="1"/>
  <c r="B42" i="1"/>
  <c r="A42" i="1"/>
  <c r="J41" i="1"/>
  <c r="I41" i="1"/>
  <c r="H41" i="1"/>
  <c r="G41" i="1"/>
  <c r="F41" i="1"/>
  <c r="B32" i="1"/>
  <c r="A32" i="1"/>
  <c r="L31" i="1"/>
  <c r="J31" i="1"/>
  <c r="I31" i="1"/>
  <c r="H31" i="1"/>
  <c r="G31" i="1"/>
  <c r="F31" i="1"/>
  <c r="B23" i="1"/>
  <c r="A23" i="1"/>
  <c r="J22" i="1"/>
  <c r="I22" i="1"/>
  <c r="H22" i="1"/>
  <c r="G22" i="1"/>
  <c r="F22" i="1"/>
  <c r="B13" i="1"/>
  <c r="A13" i="1"/>
  <c r="L12" i="1"/>
  <c r="J12" i="1"/>
  <c r="I12" i="1"/>
  <c r="H12" i="1"/>
  <c r="G12" i="1"/>
  <c r="F12" i="1"/>
  <c r="F23" i="1" s="1"/>
  <c r="G130" i="1" l="1"/>
  <c r="G166" i="1"/>
  <c r="I148" i="1"/>
  <c r="H42" i="1"/>
  <c r="J182" i="1"/>
  <c r="G182" i="1"/>
  <c r="F130" i="1"/>
  <c r="J61" i="1"/>
  <c r="G61" i="1"/>
  <c r="G42" i="1"/>
  <c r="L182" i="1"/>
  <c r="F182" i="1"/>
  <c r="L166" i="1"/>
  <c r="H166" i="1"/>
  <c r="J166" i="1"/>
  <c r="F148" i="1"/>
  <c r="G148" i="1"/>
  <c r="H148" i="1"/>
  <c r="J130" i="1"/>
  <c r="I130" i="1"/>
  <c r="H113" i="1"/>
  <c r="G113" i="1"/>
  <c r="J113" i="1"/>
  <c r="I113" i="1"/>
  <c r="L94" i="1"/>
  <c r="F94" i="1"/>
  <c r="G94" i="1"/>
  <c r="I94" i="1"/>
  <c r="F78" i="1"/>
  <c r="I78" i="1"/>
  <c r="J78" i="1"/>
  <c r="I61" i="1"/>
  <c r="F42" i="1"/>
  <c r="J23" i="1"/>
  <c r="I23" i="1"/>
  <c r="L130" i="1"/>
  <c r="H182" i="1"/>
  <c r="F166" i="1"/>
  <c r="J148" i="1"/>
  <c r="H130" i="1"/>
  <c r="L113" i="1"/>
  <c r="F113" i="1"/>
  <c r="L78" i="1"/>
  <c r="L61" i="1"/>
  <c r="L42" i="1"/>
  <c r="L23" i="1"/>
  <c r="J94" i="1"/>
  <c r="H78" i="1"/>
  <c r="G78" i="1"/>
  <c r="F61" i="1"/>
  <c r="J42" i="1"/>
  <c r="I42" i="1"/>
  <c r="H23" i="1"/>
  <c r="G23" i="1"/>
  <c r="F183" i="1" l="1"/>
  <c r="I183" i="1"/>
  <c r="L183" i="1"/>
  <c r="G183" i="1"/>
  <c r="H183" i="1"/>
  <c r="J183" i="1"/>
</calcChain>
</file>

<file path=xl/sharedStrings.xml><?xml version="1.0" encoding="utf-8"?>
<sst xmlns="http://schemas.openxmlformats.org/spreadsheetml/2006/main" count="383" uniqueCount="154">
  <si>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</si>
  <si>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</si>
  <si>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</si>
  <si>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</si>
  <si>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</si>
  <si>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</si>
  <si>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</si>
  <si>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</si>
  <si>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</si>
  <si>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</si>
  <si>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</si>
  <si>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</si>
  <si>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</si>
  <si>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</si>
  <si>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</si>
  <si>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</si>
  <si>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</si>
  <si>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</si>
  <si>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</si>
  <si>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</si>
  <si>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</si>
  <si>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</si>
  <si>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</si>
  <si>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</si>
  <si>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</si>
  <si>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</si>
  <si>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</si>
  <si>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</si>
  <si>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</si>
  <si>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</si>
  <si>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</si>
  <si>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</si>
  <si>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</si>
  <si>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</si>
  <si>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</si>
  <si>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</si>
  <si>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</si>
  <si>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</si>
  <si>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на молоке</t>
  </si>
  <si>
    <t xml:space="preserve"> Хлеб ржано-пшеничный</t>
  </si>
  <si>
    <t>Биточки из говядины паровые</t>
  </si>
  <si>
    <t>Макароны отварные</t>
  </si>
  <si>
    <t>Компот из кураги и яблок</t>
  </si>
  <si>
    <t>Хлеб пшеничный витаминизированный</t>
  </si>
  <si>
    <t>Мясо говядины, тушеное с овощами</t>
  </si>
  <si>
    <t>Чай с лимоном</t>
  </si>
  <si>
    <t xml:space="preserve">Котлета из кур </t>
  </si>
  <si>
    <t>Рис, припушенный с овощами</t>
  </si>
  <si>
    <t>Напиток из шиповника</t>
  </si>
  <si>
    <t>Напиток "Золотой шар"</t>
  </si>
  <si>
    <t>Картофельное пюре</t>
  </si>
  <si>
    <t>Кисель из ягод</t>
  </si>
  <si>
    <t>Голень или бедро птицы отварное</t>
  </si>
  <si>
    <t>Компот из сухофруктов</t>
  </si>
  <si>
    <t>хлеб черн</t>
  </si>
  <si>
    <t>Бутерброд с сыром</t>
  </si>
  <si>
    <t>пром</t>
  </si>
  <si>
    <t xml:space="preserve">пром </t>
  </si>
  <si>
    <t xml:space="preserve">Компот из кураги </t>
  </si>
  <si>
    <t>46.3</t>
  </si>
  <si>
    <t>Суфле "Рыбка"</t>
  </si>
  <si>
    <t>39.3</t>
  </si>
  <si>
    <t>948</t>
  </si>
  <si>
    <t>27.11</t>
  </si>
  <si>
    <t>Компот из яблок и изюма</t>
  </si>
  <si>
    <t>18.2</t>
  </si>
  <si>
    <t>37.2</t>
  </si>
  <si>
    <t>38.2</t>
  </si>
  <si>
    <t>44357</t>
  </si>
  <si>
    <t>Директор</t>
  </si>
  <si>
    <t>Н.В.Холуева</t>
  </si>
  <si>
    <t>МАОУ НОШ №13</t>
  </si>
  <si>
    <t>Фрукты</t>
  </si>
  <si>
    <t>Борщ из капусты с картофелем, сметаной и зеленью</t>
  </si>
  <si>
    <t>Плов из филе кур</t>
  </si>
  <si>
    <t xml:space="preserve">Суп крестьянский с крупой,сметаной </t>
  </si>
  <si>
    <t>Запеканка из творога со сгущенным молоком</t>
  </si>
  <si>
    <t>Салат из свежих овощей с маслом растительныи и зеленью</t>
  </si>
  <si>
    <t>Салат из свежих овощей с растительным маслом и зеленью</t>
  </si>
  <si>
    <t>Салат из моркови с яблоком и растительным маслом</t>
  </si>
  <si>
    <t>макароны отварные</t>
  </si>
  <si>
    <t>салат из свежих помидор с маслом растительным и зеленью</t>
  </si>
  <si>
    <t>Напиток из сухофруктов</t>
  </si>
  <si>
    <t>Салат из белокачанной капусты с морковью и растительным маслом, зеленью</t>
  </si>
  <si>
    <t>Суп лапша на куринном бульоне с зеленью</t>
  </si>
  <si>
    <t>Омлет натуральный</t>
  </si>
  <si>
    <t>Салат из огурцов и помидоров с маслом растительным и зеленью</t>
  </si>
  <si>
    <t>Суп картофельный с крупой и рыбной консервой</t>
  </si>
  <si>
    <t>Колбаски витаминные</t>
  </si>
  <si>
    <t xml:space="preserve">Капуста тушеная </t>
  </si>
  <si>
    <t>Салат из отварной свеклы с  растительным маслом</t>
  </si>
  <si>
    <t>Суп овощной со сметаной и зеленью</t>
  </si>
  <si>
    <t>фрукты</t>
  </si>
  <si>
    <t>Салат из свежих овощей с маслом</t>
  </si>
  <si>
    <t>Котлета из кур</t>
  </si>
  <si>
    <t>Бутерброд с маслом</t>
  </si>
  <si>
    <t>Салат из свежей капусты со свежим  огурцом</t>
  </si>
  <si>
    <t>Суп-пюре картофельный</t>
  </si>
  <si>
    <t>Соус мясной "Болоньезе"</t>
  </si>
  <si>
    <t>Компот из свежих фруктов</t>
  </si>
  <si>
    <t>Гренки</t>
  </si>
  <si>
    <t>тефтели мясные с рисом паровые</t>
  </si>
  <si>
    <t>Какао на молоке</t>
  </si>
  <si>
    <t>Хлеб ржано-пшеничный</t>
  </si>
  <si>
    <t>36.1</t>
  </si>
  <si>
    <t>Помидор свежий</t>
  </si>
  <si>
    <t xml:space="preserve">Винегрет овощной </t>
  </si>
  <si>
    <t>Тефтели рыбные в соусе</t>
  </si>
  <si>
    <t>72</t>
  </si>
  <si>
    <t>44502</t>
  </si>
  <si>
    <t>18.7</t>
  </si>
  <si>
    <t>44258</t>
  </si>
  <si>
    <t>21/1</t>
  </si>
  <si>
    <t>Салат из отварной свеклы с соленым огурцом и растительным маслом</t>
  </si>
  <si>
    <t>90</t>
  </si>
  <si>
    <t>17/1</t>
  </si>
  <si>
    <t>16.81</t>
  </si>
  <si>
    <t>32.1</t>
  </si>
  <si>
    <t>44325</t>
  </si>
  <si>
    <t>16</t>
  </si>
  <si>
    <t>29/2</t>
  </si>
  <si>
    <t>44538/1</t>
  </si>
  <si>
    <t>40/2</t>
  </si>
  <si>
    <t>44533</t>
  </si>
  <si>
    <t>37.1</t>
  </si>
  <si>
    <t>44379</t>
  </si>
  <si>
    <t>4232</t>
  </si>
  <si>
    <t>44387</t>
  </si>
  <si>
    <t>35/1</t>
  </si>
  <si>
    <t>Каша  молочная пшеничная с маслом сливочным</t>
  </si>
  <si>
    <t>Капуста тушеная</t>
  </si>
  <si>
    <t>27.10</t>
  </si>
  <si>
    <t>Каша рисовая молочная с маслом сливочным</t>
  </si>
  <si>
    <t>Суп картофельный с макаронами и мясом</t>
  </si>
  <si>
    <t>Горошница с морковью</t>
  </si>
  <si>
    <t>38,3</t>
  </si>
  <si>
    <t>36,8</t>
  </si>
  <si>
    <t>Салат из свежих овощей с маслом растительным</t>
  </si>
  <si>
    <t>Греча Царская</t>
  </si>
  <si>
    <t>Мясо тушеное с овощами</t>
  </si>
  <si>
    <t>90,71</t>
  </si>
  <si>
    <t xml:space="preserve">Салат из капусты с помидорами и  с маслом растительным </t>
  </si>
  <si>
    <t>Греча рассыпчатая</t>
  </si>
  <si>
    <t>макароны с маслом</t>
  </si>
  <si>
    <t>греча рассыпчатая</t>
  </si>
  <si>
    <t>Плов из говядины</t>
  </si>
  <si>
    <t xml:space="preserve">Котлета мясная </t>
  </si>
  <si>
    <t>картофельное пюре с соленым огурцом</t>
  </si>
  <si>
    <t>чай каркадэ</t>
  </si>
  <si>
    <t>Щи с капустой и картофелем со сметаной</t>
  </si>
  <si>
    <t>Рассольник с крупой и зеленью, с мясом</t>
  </si>
  <si>
    <t xml:space="preserve">Суп картофельный с бобовыми </t>
  </si>
  <si>
    <t>Чай с сахаром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</si>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</sst>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2" fontId="15" fillId="0" borderId="2" xfId="0" applyNumberFormat="1" applyFont="1" applyBorder="1" applyAlignment="1" applyProtection="1">
      <alignment vertical="center" wrapText="1"/>
      <protection locked="0"/>
    </xf>
    <xf numFmtId="2" fontId="15" fillId="0" borderId="2" xfId="0" applyNumberFormat="1" applyFont="1" applyBorder="1" applyAlignment="1" applyProtection="1">
      <alignment horizontal="left" vertical="center"/>
      <protection locked="0"/>
    </xf>
    <xf numFmtId="2" fontId="15" fillId="0" borderId="2" xfId="0" applyNumberFormat="1" applyFont="1" applyBorder="1" applyAlignment="1">
      <alignment vertical="center"/>
    </xf>
    <xf numFmtId="2" fontId="15" fillId="0" borderId="2" xfId="0" applyNumberFormat="1" applyFont="1" applyBorder="1" applyAlignment="1">
      <alignment horizontal="left" vertical="center"/>
    </xf>
    <xf numFmtId="0" fontId="4" fillId="2" borderId="2" xfId="0" applyFont="1" applyFill="1" applyBorder="1" applyProtection="1">
      <protection locked="0"/>
    </xf>
    <xf numFmtId="2" fontId="15" fillId="0" borderId="2" xfId="0" applyNumberFormat="1" applyFont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/>
    </xf>
    <xf numFmtId="2" fontId="15" fillId="0" borderId="2" xfId="0" applyNumberFormat="1" applyFont="1" applyBorder="1" applyAlignment="1">
      <alignment horizontal="left" vertical="center" wrapText="1"/>
    </xf>
    <xf numFmtId="2" fontId="15" fillId="0" borderId="0" xfId="0" applyNumberFormat="1" applyFont="1" applyAlignment="1">
      <alignment horizontal="left" vertical="center" wrapText="1"/>
    </xf>
    <xf numFmtId="2" fontId="15" fillId="0" borderId="2" xfId="0" applyNumberFormat="1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/>
    </xf>
    <xf numFmtId="2" fontId="16" fillId="0" borderId="2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4" fillId="0" borderId="2" xfId="0" applyFont="1" applyBorder="1"/>
    <xf numFmtId="49" fontId="6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5" fillId="0" borderId="2" xfId="0" applyNumberFormat="1" applyFont="1" applyBorder="1" applyAlignment="1">
      <alignment horizontal="left" vertical="center"/>
    </xf>
    <xf numFmtId="49" fontId="15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top" wrapText="1"/>
    </xf>
    <xf numFmtId="2" fontId="6" fillId="3" borderId="3" xfId="0" applyNumberFormat="1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2" fontId="6" fillId="2" borderId="17" xfId="0" applyNumberFormat="1" applyFont="1" applyFill="1" applyBorder="1" applyAlignment="1" applyProtection="1">
      <alignment horizontal="center" vertical="top" wrapText="1"/>
      <protection locked="0"/>
    </xf>
    <xf numFmtId="164" fontId="15" fillId="0" borderId="2" xfId="0" applyNumberFormat="1" applyFont="1" applyBorder="1" applyAlignment="1">
      <alignment horizontal="left" vertical="center"/>
    </xf>
    <xf numFmtId="164" fontId="6" fillId="2" borderId="17" xfId="0" applyNumberFormat="1" applyFont="1" applyFill="1" applyBorder="1" applyAlignment="1" applyProtection="1">
      <alignment horizontal="center" vertical="top" wrapText="1"/>
      <protection locked="0"/>
    </xf>
    <xf numFmtId="1" fontId="15" fillId="0" borderId="2" xfId="0" applyNumberFormat="1" applyFont="1" applyBorder="1" applyAlignment="1">
      <alignment horizontal="left" vertical="center"/>
    </xf>
    <xf numFmtId="1" fontId="15" fillId="0" borderId="23" xfId="0" applyNumberFormat="1" applyFont="1" applyFill="1" applyBorder="1" applyAlignment="1">
      <alignment horizontal="center" vertical="center"/>
    </xf>
    <xf numFmtId="164" fontId="15" fillId="0" borderId="23" xfId="0" applyNumberFormat="1" applyFont="1" applyFill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 vertical="top" wrapText="1"/>
      <protection locked="0"/>
    </xf>
    <xf numFmtId="2" fontId="6" fillId="2" borderId="15" xfId="0" applyNumberFormat="1" applyFont="1" applyFill="1" applyBorder="1" applyAlignment="1" applyProtection="1">
      <alignment horizontal="center" vertical="top" wrapText="1"/>
      <protection locked="0"/>
    </xf>
    <xf numFmtId="2" fontId="16" fillId="0" borderId="2" xfId="0" applyNumberFormat="1" applyFont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 wrapText="1"/>
    </xf>
    <xf numFmtId="49" fontId="15" fillId="0" borderId="2" xfId="0" applyNumberFormat="1" applyFont="1" applyFill="1" applyBorder="1" applyAlignment="1">
      <alignment horizontal="left" vertical="center"/>
    </xf>
    <xf numFmtId="49" fontId="15" fillId="0" borderId="2" xfId="0" applyNumberFormat="1" applyFont="1" applyBorder="1" applyAlignment="1">
      <alignment horizontal="left" vertical="center" wrapText="1"/>
    </xf>
    <xf numFmtId="2" fontId="6" fillId="0" borderId="17" xfId="0" applyNumberFormat="1" applyFont="1" applyBorder="1" applyAlignment="1">
      <alignment horizontal="center" vertical="top" wrapText="1"/>
    </xf>
    <xf numFmtId="2" fontId="15" fillId="0" borderId="2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2" fontId="6" fillId="0" borderId="10" xfId="0" applyNumberFormat="1" applyFont="1" applyBorder="1" applyAlignment="1">
      <alignment horizontal="center"/>
    </xf>
    <xf numFmtId="0" fontId="17" fillId="2" borderId="2" xfId="0" applyFont="1" applyFill="1" applyBorder="1" applyProtection="1">
      <protection locked="0"/>
    </xf>
    <xf numFmtId="0" fontId="17" fillId="0" borderId="2" xfId="0" applyFont="1" applyBorder="1"/>
    <xf numFmtId="0" fontId="17" fillId="2" borderId="17" xfId="0" applyFont="1" applyFill="1" applyBorder="1" applyAlignment="1" applyProtection="1">
      <alignment horizontal="center" vertical="top" wrapText="1"/>
      <protection locked="0"/>
    </xf>
    <xf numFmtId="2" fontId="17" fillId="2" borderId="2" xfId="0" applyNumberFormat="1" applyFont="1" applyFill="1" applyBorder="1" applyAlignment="1" applyProtection="1">
      <alignment horizontal="center" vertical="top" wrapText="1"/>
      <protection locked="0"/>
    </xf>
    <xf numFmtId="2" fontId="18" fillId="0" borderId="2" xfId="0" applyNumberFormat="1" applyFont="1" applyBorder="1" applyAlignment="1" applyProtection="1">
      <alignment vertical="center"/>
      <protection locked="0"/>
    </xf>
    <xf numFmtId="2" fontId="18" fillId="0" borderId="2" xfId="0" applyNumberFormat="1" applyFont="1" applyBorder="1" applyAlignment="1" applyProtection="1">
      <alignment horizontal="left" vertical="center"/>
      <protection locked="0"/>
    </xf>
    <xf numFmtId="2" fontId="18" fillId="0" borderId="2" xfId="0" applyNumberFormat="1" applyFont="1" applyBorder="1" applyAlignment="1">
      <alignment vertical="center"/>
    </xf>
    <xf numFmtId="2" fontId="18" fillId="0" borderId="2" xfId="0" applyNumberFormat="1" applyFont="1" applyBorder="1" applyAlignment="1">
      <alignment horizontal="left" vertical="center"/>
    </xf>
    <xf numFmtId="2" fontId="18" fillId="0" borderId="2" xfId="0" applyNumberFormat="1" applyFont="1" applyBorder="1" applyAlignment="1">
      <alignment vertical="center" wrapText="1"/>
    </xf>
    <xf numFmtId="0" fontId="16" fillId="2" borderId="2" xfId="0" applyFont="1" applyFill="1" applyBorder="1" applyProtection="1"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2" fontId="16" fillId="2" borderId="2" xfId="0" applyNumberFormat="1" applyFont="1" applyFill="1" applyBorder="1" applyAlignment="1" applyProtection="1">
      <alignment horizontal="center" vertical="top" wrapText="1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19" fillId="0" borderId="2" xfId="0" applyFont="1" applyBorder="1" applyAlignment="1" applyProtection="1">
      <alignment horizontal="right"/>
      <protection locked="0"/>
    </xf>
    <xf numFmtId="0" fontId="16" fillId="0" borderId="2" xfId="0" applyFont="1" applyBorder="1" applyAlignment="1">
      <alignment vertical="top" wrapText="1"/>
    </xf>
    <xf numFmtId="2" fontId="16" fillId="0" borderId="2" xfId="0" applyNumberFormat="1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top" wrapText="1"/>
    </xf>
    <xf numFmtId="0" fontId="3" fillId="0" borderId="2" xfId="0" applyFont="1" applyBorder="1"/>
    <xf numFmtId="0" fontId="3" fillId="2" borderId="2" xfId="0" applyFont="1" applyFill="1" applyBorder="1" applyProtection="1">
      <protection locked="0"/>
    </xf>
    <xf numFmtId="2" fontId="15" fillId="0" borderId="2" xfId="0" applyNumberFormat="1" applyFont="1" applyFill="1" applyBorder="1" applyAlignment="1">
      <alignment horizontal="left" vertical="center" wrapText="1"/>
    </xf>
    <xf numFmtId="1" fontId="6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1" fillId="0" borderId="2" xfId="0" applyFont="1" applyBorder="1"/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3"/>
  <sheetViews>
    <sheetView tabSelected="1" workbookViewId="0">
      <pane xSplit="4" ySplit="5" topLeftCell="E169" activePane="bottomRight" state="frozen"/>
      <selection pane="topRight" activeCell="E1" sqref="E1"/>
      <selection pane="bottomLeft" activeCell="A6" sqref="A6"/>
      <selection pane="bottomRight" activeCell="L174" sqref="L17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85546875" style="2" customWidth="1"/>
    <col min="10" max="10" width="8.140625" style="2" customWidth="1"/>
    <col min="11" max="11" width="10" style="2" customWidth="1"/>
    <col min="12" max="12" width="11.5703125" style="2" bestFit="1" customWidth="1"/>
    <col min="13" max="16384" width="9.140625" style="2"/>
  </cols>
  <sheetData>
    <row r="1" spans="1:12" ht="15" x14ac:dyDescent="0.25">
      <c r="A1" s="1" t="s">
        <v>7</v>
      </c>
      <c r="C1" s="111" t="s">
        <v>71</v>
      </c>
      <c r="D1" s="112"/>
      <c r="E1" s="112"/>
      <c r="F1" s="12" t="s">
        <v>16</v>
      </c>
      <c r="G1" s="2" t="s">
        <v>17</v>
      </c>
      <c r="H1" s="113" t="s">
        <v>69</v>
      </c>
      <c r="I1" s="113"/>
      <c r="J1" s="113"/>
      <c r="K1" s="113"/>
    </row>
    <row r="2" spans="1:12" ht="18" x14ac:dyDescent="0.2">
      <c r="A2" s="35" t="s">
        <v>6</v>
      </c>
      <c r="C2" s="2"/>
      <c r="G2" s="2" t="s">
        <v>18</v>
      </c>
      <c r="H2" s="113" t="s">
        <v>70</v>
      </c>
      <c r="I2" s="113"/>
      <c r="J2" s="113"/>
      <c r="K2" s="11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4</v>
      </c>
      <c r="I3" s="46">
        <v>3</v>
      </c>
      <c r="J3" s="47">
        <v>2025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129</v>
      </c>
      <c r="F6" s="50">
        <v>200</v>
      </c>
      <c r="G6" s="50">
        <v>7.45</v>
      </c>
      <c r="H6" s="50">
        <v>11.4</v>
      </c>
      <c r="I6" s="50">
        <v>31.3</v>
      </c>
      <c r="J6" s="50">
        <v>257.8</v>
      </c>
      <c r="K6" s="39">
        <v>45398</v>
      </c>
      <c r="L6" s="78">
        <v>32.29</v>
      </c>
    </row>
    <row r="7" spans="1:12" ht="15" x14ac:dyDescent="0.25">
      <c r="A7" s="23"/>
      <c r="B7" s="15"/>
      <c r="C7" s="11"/>
      <c r="D7" s="89" t="s">
        <v>22</v>
      </c>
      <c r="E7" s="92" t="s">
        <v>38</v>
      </c>
      <c r="F7" s="93">
        <v>200</v>
      </c>
      <c r="G7" s="93">
        <v>3.1</v>
      </c>
      <c r="H7" s="93">
        <v>3.2</v>
      </c>
      <c r="I7" s="93">
        <v>14.4</v>
      </c>
      <c r="J7" s="93">
        <v>99</v>
      </c>
      <c r="K7" s="90">
        <v>32.1</v>
      </c>
      <c r="L7" s="91">
        <v>22.08</v>
      </c>
    </row>
    <row r="8" spans="1:12" ht="15" x14ac:dyDescent="0.25">
      <c r="A8" s="23"/>
      <c r="B8" s="15"/>
      <c r="C8" s="11"/>
      <c r="D8" s="89" t="s">
        <v>31</v>
      </c>
      <c r="E8" s="92" t="s">
        <v>39</v>
      </c>
      <c r="F8" s="93">
        <v>30</v>
      </c>
      <c r="G8" s="93">
        <v>7.32</v>
      </c>
      <c r="H8" s="93">
        <v>4.4400000000000004</v>
      </c>
      <c r="I8" s="93">
        <v>21</v>
      </c>
      <c r="J8" s="93">
        <v>153.24</v>
      </c>
      <c r="K8" s="90" t="s">
        <v>56</v>
      </c>
      <c r="L8" s="91">
        <v>2.63</v>
      </c>
    </row>
    <row r="9" spans="1:12" ht="15" x14ac:dyDescent="0.25">
      <c r="A9" s="23"/>
      <c r="B9" s="15"/>
      <c r="C9" s="11"/>
      <c r="D9" s="89" t="s">
        <v>25</v>
      </c>
      <c r="E9" s="94" t="s">
        <v>55</v>
      </c>
      <c r="F9" s="95">
        <v>60</v>
      </c>
      <c r="G9" s="95">
        <v>1.68</v>
      </c>
      <c r="H9" s="95">
        <v>0.33</v>
      </c>
      <c r="I9" s="95">
        <v>14.82</v>
      </c>
      <c r="J9" s="95">
        <v>68.97</v>
      </c>
      <c r="K9" s="90">
        <v>44240</v>
      </c>
      <c r="L9" s="91">
        <v>35.28</v>
      </c>
    </row>
    <row r="10" spans="1:12" ht="15" x14ac:dyDescent="0.25">
      <c r="A10" s="23"/>
      <c r="B10" s="15"/>
      <c r="C10" s="11"/>
      <c r="D10" s="88" t="s">
        <v>56</v>
      </c>
      <c r="E10" s="96" t="s">
        <v>72</v>
      </c>
      <c r="F10" s="95">
        <v>130</v>
      </c>
      <c r="G10" s="95">
        <v>0.52</v>
      </c>
      <c r="H10" s="95">
        <v>0.52</v>
      </c>
      <c r="I10" s="95">
        <v>14.24</v>
      </c>
      <c r="J10" s="95">
        <v>63.7</v>
      </c>
      <c r="K10" s="90" t="s">
        <v>56</v>
      </c>
      <c r="L10" s="91">
        <v>32.76</v>
      </c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70"/>
    </row>
    <row r="12" spans="1:12" ht="15" x14ac:dyDescent="0.25">
      <c r="A12" s="24"/>
      <c r="B12" s="17"/>
      <c r="C12" s="8"/>
      <c r="D12" s="18" t="s">
        <v>32</v>
      </c>
      <c r="E12" s="9"/>
      <c r="F12" s="19">
        <f>SUM(F6:F11)</f>
        <v>620</v>
      </c>
      <c r="G12" s="68">
        <f>SUM(G6:G11)</f>
        <v>20.07</v>
      </c>
      <c r="H12" s="68">
        <f>SUM(H6:H11)</f>
        <v>19.89</v>
      </c>
      <c r="I12" s="68">
        <f>SUM(I6:I11)</f>
        <v>95.76</v>
      </c>
      <c r="J12" s="68">
        <f>SUM(J6:J11)</f>
        <v>642.71</v>
      </c>
      <c r="K12" s="25"/>
      <c r="L12" s="68">
        <f>SUM(L6:L11)</f>
        <v>125.03999999999999</v>
      </c>
    </row>
    <row r="13" spans="1:12" ht="31.5" x14ac:dyDescent="0.25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54" t="s">
        <v>77</v>
      </c>
      <c r="F13" s="52">
        <v>65</v>
      </c>
      <c r="G13" s="52">
        <v>0.65</v>
      </c>
      <c r="H13" s="52">
        <v>6.5</v>
      </c>
      <c r="I13" s="52">
        <v>5.16</v>
      </c>
      <c r="J13" s="52">
        <v>81.73</v>
      </c>
      <c r="K13" s="42">
        <v>90</v>
      </c>
      <c r="L13" s="70">
        <v>16.489999999999998</v>
      </c>
    </row>
    <row r="14" spans="1:12" ht="15.75" x14ac:dyDescent="0.25">
      <c r="A14" s="23"/>
      <c r="B14" s="15"/>
      <c r="C14" s="11"/>
      <c r="D14" s="7" t="s">
        <v>26</v>
      </c>
      <c r="E14" s="54" t="s">
        <v>151</v>
      </c>
      <c r="F14" s="50">
        <v>250</v>
      </c>
      <c r="G14" s="52">
        <f>F14*4.4/200</f>
        <v>5.5</v>
      </c>
      <c r="H14" s="52">
        <v>4.5</v>
      </c>
      <c r="I14" s="52">
        <f>F14*16.6/200</f>
        <v>20.75</v>
      </c>
      <c r="J14" s="52">
        <f>F14*124.5/200</f>
        <v>155.625</v>
      </c>
      <c r="K14" s="42">
        <v>16.2</v>
      </c>
      <c r="L14" s="70">
        <v>13.21</v>
      </c>
    </row>
    <row r="15" spans="1:12" ht="15.75" x14ac:dyDescent="0.25">
      <c r="A15" s="23"/>
      <c r="B15" s="15"/>
      <c r="C15" s="11"/>
      <c r="D15" s="7" t="s">
        <v>27</v>
      </c>
      <c r="E15" s="55" t="s">
        <v>40</v>
      </c>
      <c r="F15" s="50">
        <v>90</v>
      </c>
      <c r="G15" s="52">
        <f>F15*11.68/90</f>
        <v>11.68</v>
      </c>
      <c r="H15" s="52">
        <f>F15*11.61/90</f>
        <v>11.609999999999998</v>
      </c>
      <c r="I15" s="52">
        <f>F15*5.76/90</f>
        <v>5.76</v>
      </c>
      <c r="J15" s="52">
        <f>F15*175/90</f>
        <v>175</v>
      </c>
      <c r="K15" s="42">
        <v>16.809999999999999</v>
      </c>
      <c r="L15" s="70">
        <v>64.64</v>
      </c>
    </row>
    <row r="16" spans="1:12" ht="15.75" x14ac:dyDescent="0.25">
      <c r="A16" s="23"/>
      <c r="B16" s="15"/>
      <c r="C16" s="11"/>
      <c r="D16" s="7" t="s">
        <v>28</v>
      </c>
      <c r="E16" s="51" t="s">
        <v>41</v>
      </c>
      <c r="F16" s="50">
        <v>150</v>
      </c>
      <c r="G16" s="52">
        <f>F16*5.3/150</f>
        <v>5.3</v>
      </c>
      <c r="H16" s="52">
        <f>F16*3/150</f>
        <v>3</v>
      </c>
      <c r="I16" s="52">
        <f>F16*32.4/150</f>
        <v>32.4</v>
      </c>
      <c r="J16" s="52">
        <f>F16*178/150</f>
        <v>178</v>
      </c>
      <c r="K16" s="42">
        <v>46.3</v>
      </c>
      <c r="L16" s="70">
        <v>9.99</v>
      </c>
    </row>
    <row r="17" spans="1:12" ht="15.75" x14ac:dyDescent="0.25">
      <c r="A17" s="23"/>
      <c r="B17" s="15"/>
      <c r="C17" s="11"/>
      <c r="D17" s="7" t="s">
        <v>29</v>
      </c>
      <c r="E17" s="51" t="s">
        <v>42</v>
      </c>
      <c r="F17" s="50">
        <v>200</v>
      </c>
      <c r="G17" s="52">
        <v>0.4</v>
      </c>
      <c r="H17" s="52">
        <v>0.2</v>
      </c>
      <c r="I17" s="52">
        <v>16.100000000000001</v>
      </c>
      <c r="J17" s="52">
        <v>68</v>
      </c>
      <c r="K17" s="42">
        <v>44206</v>
      </c>
      <c r="L17" s="70">
        <v>15.42</v>
      </c>
    </row>
    <row r="18" spans="1:12" ht="15.75" x14ac:dyDescent="0.25">
      <c r="A18" s="23"/>
      <c r="B18" s="15"/>
      <c r="C18" s="11"/>
      <c r="D18" s="7" t="s">
        <v>30</v>
      </c>
      <c r="E18" s="54" t="s">
        <v>43</v>
      </c>
      <c r="F18" s="52">
        <v>47</v>
      </c>
      <c r="G18" s="52">
        <f>SUM(F18*2.37/30)</f>
        <v>3.7130000000000001</v>
      </c>
      <c r="H18" s="52">
        <f>SUM(F18*0.3/30)</f>
        <v>0.47</v>
      </c>
      <c r="I18" s="52">
        <f>SUM(F18*14.49/30)</f>
        <v>22.701000000000001</v>
      </c>
      <c r="J18" s="52">
        <f>SUM(F18*70.14/30)</f>
        <v>109.886</v>
      </c>
      <c r="K18" s="42" t="s">
        <v>56</v>
      </c>
      <c r="L18" s="70">
        <v>2.66</v>
      </c>
    </row>
    <row r="19" spans="1:12" ht="15.75" x14ac:dyDescent="0.25">
      <c r="A19" s="23"/>
      <c r="B19" s="15"/>
      <c r="C19" s="11"/>
      <c r="D19" s="7" t="s">
        <v>31</v>
      </c>
      <c r="E19" s="51" t="s">
        <v>39</v>
      </c>
      <c r="F19" s="52">
        <v>30</v>
      </c>
      <c r="G19" s="52">
        <f>SUM(F19*1.68/30)</f>
        <v>1.68</v>
      </c>
      <c r="H19" s="52">
        <f>SUM(F19*0.33/30)</f>
        <v>0.33</v>
      </c>
      <c r="I19" s="52">
        <f>SUM(F19*14.82/30)</f>
        <v>14.82</v>
      </c>
      <c r="J19" s="52">
        <f>SUM(F19*68.97/30)</f>
        <v>68.97</v>
      </c>
      <c r="K19" s="42" t="s">
        <v>56</v>
      </c>
      <c r="L19" s="70">
        <v>2.63</v>
      </c>
    </row>
    <row r="20" spans="1:12" ht="15" x14ac:dyDescent="0.25">
      <c r="A20" s="23"/>
      <c r="B20" s="15"/>
      <c r="C20" s="11"/>
      <c r="D20" s="6"/>
      <c r="E20" s="40"/>
      <c r="F20" s="41"/>
      <c r="G20" s="41"/>
      <c r="H20" s="41"/>
      <c r="I20" s="41"/>
      <c r="J20" s="41"/>
      <c r="K20" s="42"/>
      <c r="L20" s="70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70"/>
    </row>
    <row r="22" spans="1:12" ht="15" x14ac:dyDescent="0.25">
      <c r="A22" s="24"/>
      <c r="B22" s="17"/>
      <c r="C22" s="8"/>
      <c r="D22" s="18" t="s">
        <v>32</v>
      </c>
      <c r="E22" s="9"/>
      <c r="F22" s="19">
        <f>SUM(F13:F21)</f>
        <v>832</v>
      </c>
      <c r="G22" s="68">
        <f t="shared" ref="G22:J22" si="0">SUM(G13:G21)</f>
        <v>28.922999999999998</v>
      </c>
      <c r="H22" s="68">
        <f t="shared" si="0"/>
        <v>26.609999999999996</v>
      </c>
      <c r="I22" s="68">
        <f t="shared" si="0"/>
        <v>117.69099999999997</v>
      </c>
      <c r="J22" s="68">
        <f t="shared" si="0"/>
        <v>837.21100000000001</v>
      </c>
      <c r="K22" s="25"/>
      <c r="L22" s="68">
        <f>SUM(L13:L21)</f>
        <v>125.03999999999999</v>
      </c>
    </row>
    <row r="23" spans="1:12" ht="15.75" thickBot="1" x14ac:dyDescent="0.25">
      <c r="A23" s="29">
        <f>A6</f>
        <v>1</v>
      </c>
      <c r="B23" s="30">
        <f>B6</f>
        <v>1</v>
      </c>
      <c r="C23" s="114" t="s">
        <v>4</v>
      </c>
      <c r="D23" s="115"/>
      <c r="E23" s="31"/>
      <c r="F23" s="32">
        <f>F12+F22</f>
        <v>1452</v>
      </c>
      <c r="G23" s="69">
        <f t="shared" ref="G23:J23" si="1">G12+G22</f>
        <v>48.992999999999995</v>
      </c>
      <c r="H23" s="32">
        <f t="shared" si="1"/>
        <v>46.5</v>
      </c>
      <c r="I23" s="69">
        <f t="shared" si="1"/>
        <v>213.45099999999996</v>
      </c>
      <c r="J23" s="32">
        <f t="shared" si="1"/>
        <v>1479.921</v>
      </c>
      <c r="K23" s="32"/>
      <c r="L23" s="69">
        <f t="shared" ref="L23" si="2">L12+L22</f>
        <v>250.07999999999998</v>
      </c>
    </row>
    <row r="24" spans="1:12" ht="15.75" x14ac:dyDescent="0.25">
      <c r="A24" s="14">
        <v>1</v>
      </c>
      <c r="B24" s="15">
        <v>2</v>
      </c>
      <c r="C24" s="22" t="s">
        <v>20</v>
      </c>
      <c r="D24" s="5" t="s">
        <v>21</v>
      </c>
      <c r="E24" s="56" t="s">
        <v>44</v>
      </c>
      <c r="F24" s="52">
        <v>230</v>
      </c>
      <c r="G24" s="52">
        <f>F24*15.7/200</f>
        <v>18.055</v>
      </c>
      <c r="H24" s="52">
        <f>F24*15.7/200</f>
        <v>18.055</v>
      </c>
      <c r="I24" s="52">
        <f>F24*19.8/200</f>
        <v>22.77</v>
      </c>
      <c r="J24" s="52">
        <f>F24*283.3/200</f>
        <v>325.79500000000002</v>
      </c>
      <c r="K24" s="39">
        <v>44263</v>
      </c>
      <c r="L24" s="78">
        <v>96.55</v>
      </c>
    </row>
    <row r="25" spans="1:12" ht="31.5" x14ac:dyDescent="0.25">
      <c r="A25" s="14"/>
      <c r="B25" s="15"/>
      <c r="C25" s="11"/>
      <c r="D25" s="53" t="s">
        <v>25</v>
      </c>
      <c r="E25" s="57" t="s">
        <v>78</v>
      </c>
      <c r="F25" s="58">
        <v>60</v>
      </c>
      <c r="G25" s="58">
        <v>0.6</v>
      </c>
      <c r="H25" s="58">
        <v>6</v>
      </c>
      <c r="I25" s="58">
        <v>4.76</v>
      </c>
      <c r="J25" s="58">
        <v>75.44</v>
      </c>
      <c r="K25" s="67" t="s">
        <v>114</v>
      </c>
      <c r="L25" s="70">
        <v>16.18</v>
      </c>
    </row>
    <row r="26" spans="1:12" ht="15.75" x14ac:dyDescent="0.25">
      <c r="A26" s="14"/>
      <c r="B26" s="15"/>
      <c r="C26" s="11"/>
      <c r="D26" s="7" t="s">
        <v>29</v>
      </c>
      <c r="E26" s="52" t="s">
        <v>45</v>
      </c>
      <c r="F26" s="52">
        <v>200</v>
      </c>
      <c r="G26" s="52">
        <v>0.1</v>
      </c>
      <c r="H26" s="52">
        <v>0</v>
      </c>
      <c r="I26" s="52">
        <v>9.9</v>
      </c>
      <c r="J26" s="52">
        <v>40</v>
      </c>
      <c r="K26" s="42">
        <v>29.1</v>
      </c>
      <c r="L26" s="70">
        <v>5.24</v>
      </c>
    </row>
    <row r="27" spans="1:12" ht="15.75" x14ac:dyDescent="0.25">
      <c r="A27" s="14"/>
      <c r="B27" s="15"/>
      <c r="C27" s="11"/>
      <c r="D27" s="7" t="s">
        <v>23</v>
      </c>
      <c r="E27" s="54" t="s">
        <v>43</v>
      </c>
      <c r="F27" s="52">
        <v>50</v>
      </c>
      <c r="G27" s="52">
        <f>SUM(F27*2.37/30)</f>
        <v>3.95</v>
      </c>
      <c r="H27" s="52">
        <f>SUM(F27*0.3/30)</f>
        <v>0.5</v>
      </c>
      <c r="I27" s="52">
        <f>SUM(F27*14.49/30)</f>
        <v>24.15</v>
      </c>
      <c r="J27" s="52">
        <f>SUM(F27*70.14/30)</f>
        <v>116.9</v>
      </c>
      <c r="K27" s="42" t="s">
        <v>57</v>
      </c>
      <c r="L27" s="70">
        <v>4.4400000000000004</v>
      </c>
    </row>
    <row r="28" spans="1:12" ht="15.75" x14ac:dyDescent="0.25">
      <c r="A28" s="14"/>
      <c r="B28" s="15"/>
      <c r="C28" s="11"/>
      <c r="D28" s="64" t="s">
        <v>23</v>
      </c>
      <c r="E28" s="51" t="s">
        <v>39</v>
      </c>
      <c r="F28" s="52">
        <v>37</v>
      </c>
      <c r="G28" s="52">
        <f>SUM(F28*1.68/30)</f>
        <v>2.0720000000000001</v>
      </c>
      <c r="H28" s="52">
        <f>SUM(F28*0.33/30)</f>
        <v>0.40700000000000003</v>
      </c>
      <c r="I28" s="52">
        <f>SUM(F28*14.82/30)</f>
        <v>18.278000000000002</v>
      </c>
      <c r="J28" s="52">
        <f>SUM(F28*68.97/30)</f>
        <v>85.063000000000002</v>
      </c>
      <c r="K28" s="42" t="s">
        <v>57</v>
      </c>
      <c r="L28" s="70">
        <v>2.63</v>
      </c>
    </row>
    <row r="29" spans="1:12" ht="15.75" x14ac:dyDescent="0.25">
      <c r="A29" s="14"/>
      <c r="B29" s="15"/>
      <c r="C29" s="11"/>
      <c r="D29" s="53"/>
      <c r="E29" s="57"/>
      <c r="F29" s="58"/>
      <c r="G29" s="58"/>
      <c r="H29" s="58"/>
      <c r="I29" s="58"/>
      <c r="J29" s="58"/>
      <c r="K29" s="42"/>
      <c r="L29" s="70"/>
    </row>
    <row r="30" spans="1:12" ht="15" x14ac:dyDescent="0.25">
      <c r="A30" s="14"/>
      <c r="B30" s="15"/>
      <c r="C30" s="11"/>
      <c r="D30" s="6"/>
      <c r="E30" s="40"/>
      <c r="F30" s="70"/>
      <c r="G30" s="70"/>
      <c r="H30" s="70"/>
      <c r="I30" s="70"/>
      <c r="J30" s="70"/>
      <c r="K30" s="42"/>
      <c r="L30" s="70"/>
    </row>
    <row r="31" spans="1:12" ht="15" x14ac:dyDescent="0.25">
      <c r="A31" s="16"/>
      <c r="B31" s="17"/>
      <c r="C31" s="8"/>
      <c r="D31" s="18" t="s">
        <v>32</v>
      </c>
      <c r="E31" s="9"/>
      <c r="F31" s="68">
        <f>SUM(F24:F30)</f>
        <v>577</v>
      </c>
      <c r="G31" s="68">
        <f t="shared" ref="G31" si="3">SUM(G24:G30)</f>
        <v>24.777000000000001</v>
      </c>
      <c r="H31" s="68">
        <f t="shared" ref="H31" si="4">SUM(H24:H30)</f>
        <v>24.962</v>
      </c>
      <c r="I31" s="68">
        <f t="shared" ref="I31" si="5">SUM(I24:I30)</f>
        <v>79.858000000000004</v>
      </c>
      <c r="J31" s="68">
        <f t="shared" ref="J31:L31" si="6">SUM(J24:J30)</f>
        <v>643.19799999999998</v>
      </c>
      <c r="K31" s="25"/>
      <c r="L31" s="68">
        <f t="shared" si="6"/>
        <v>125.03999999999998</v>
      </c>
    </row>
    <row r="32" spans="1:12" ht="31.5" x14ac:dyDescent="0.25">
      <c r="A32" s="13">
        <f>A24</f>
        <v>1</v>
      </c>
      <c r="B32" s="13">
        <f>B24</f>
        <v>2</v>
      </c>
      <c r="C32" s="10" t="s">
        <v>24</v>
      </c>
      <c r="D32" s="7" t="s">
        <v>25</v>
      </c>
      <c r="E32" s="57" t="s">
        <v>79</v>
      </c>
      <c r="F32" s="52">
        <v>100</v>
      </c>
      <c r="G32" s="52">
        <f>F32*0.5/50</f>
        <v>1</v>
      </c>
      <c r="H32" s="52">
        <v>6</v>
      </c>
      <c r="I32" s="52">
        <v>9.6</v>
      </c>
      <c r="J32" s="52">
        <v>96.4</v>
      </c>
      <c r="K32" s="65" t="s">
        <v>115</v>
      </c>
      <c r="L32" s="70">
        <v>13.69</v>
      </c>
    </row>
    <row r="33" spans="1:12" ht="31.5" x14ac:dyDescent="0.25">
      <c r="A33" s="14"/>
      <c r="B33" s="15"/>
      <c r="C33" s="11"/>
      <c r="D33" s="7" t="s">
        <v>26</v>
      </c>
      <c r="E33" s="56" t="s">
        <v>73</v>
      </c>
      <c r="F33" s="52">
        <v>250</v>
      </c>
      <c r="G33" s="52">
        <v>2.2000000000000002</v>
      </c>
      <c r="H33" s="52">
        <f>F33*5.2/250</f>
        <v>5.2</v>
      </c>
      <c r="I33" s="52">
        <v>9.6</v>
      </c>
      <c r="J33" s="52">
        <v>94</v>
      </c>
      <c r="K33" s="42">
        <v>44257</v>
      </c>
      <c r="L33" s="70">
        <v>26.94</v>
      </c>
    </row>
    <row r="34" spans="1:12" ht="15.75" x14ac:dyDescent="0.25">
      <c r="A34" s="14"/>
      <c r="B34" s="15"/>
      <c r="C34" s="11"/>
      <c r="D34" s="7" t="s">
        <v>27</v>
      </c>
      <c r="E34" s="56" t="s">
        <v>46</v>
      </c>
      <c r="F34" s="52">
        <v>90</v>
      </c>
      <c r="G34" s="52">
        <f>F34*13.32/90</f>
        <v>13.32</v>
      </c>
      <c r="H34" s="52">
        <f>F34*11.16/90</f>
        <v>11.16</v>
      </c>
      <c r="I34" s="52">
        <v>8.19</v>
      </c>
      <c r="J34" s="52">
        <f>F34*186.3/90</f>
        <v>186.3</v>
      </c>
      <c r="K34" s="42">
        <v>44325</v>
      </c>
      <c r="L34" s="70">
        <v>51.41</v>
      </c>
    </row>
    <row r="35" spans="1:12" ht="15.75" x14ac:dyDescent="0.25">
      <c r="A35" s="14"/>
      <c r="B35" s="15"/>
      <c r="C35" s="11"/>
      <c r="D35" s="7" t="s">
        <v>28</v>
      </c>
      <c r="E35" s="52" t="s">
        <v>47</v>
      </c>
      <c r="F35" s="52">
        <v>150</v>
      </c>
      <c r="G35" s="52">
        <f>F35*3.75/150</f>
        <v>3.75</v>
      </c>
      <c r="H35" s="52">
        <f>F35*7.1/150</f>
        <v>7.1</v>
      </c>
      <c r="I35" s="52">
        <v>37.700000000000003</v>
      </c>
      <c r="J35" s="52">
        <f>F35*230.02/150</f>
        <v>230.02</v>
      </c>
      <c r="K35" s="42">
        <v>38.299999999999997</v>
      </c>
      <c r="L35" s="70">
        <v>12.8</v>
      </c>
    </row>
    <row r="36" spans="1:12" ht="15.75" x14ac:dyDescent="0.25">
      <c r="A36" s="14"/>
      <c r="B36" s="15"/>
      <c r="C36" s="11"/>
      <c r="D36" s="7" t="s">
        <v>29</v>
      </c>
      <c r="E36" s="56" t="s">
        <v>49</v>
      </c>
      <c r="F36" s="52">
        <v>200</v>
      </c>
      <c r="G36" s="52">
        <v>0</v>
      </c>
      <c r="H36" s="52">
        <v>0</v>
      </c>
      <c r="I36" s="52">
        <v>12</v>
      </c>
      <c r="J36" s="52">
        <v>48</v>
      </c>
      <c r="K36" s="42" t="s">
        <v>66</v>
      </c>
      <c r="L36" s="70">
        <v>13.15</v>
      </c>
    </row>
    <row r="37" spans="1:12" ht="15.75" x14ac:dyDescent="0.25">
      <c r="A37" s="14"/>
      <c r="B37" s="15"/>
      <c r="C37" s="11"/>
      <c r="D37" s="7" t="s">
        <v>30</v>
      </c>
      <c r="E37" s="54" t="s">
        <v>43</v>
      </c>
      <c r="F37" s="52">
        <v>40</v>
      </c>
      <c r="G37" s="52">
        <f>SUM(F37*2.37/30)</f>
        <v>3.1600000000000006</v>
      </c>
      <c r="H37" s="52">
        <f>SUM(F37*0.3/30)</f>
        <v>0.4</v>
      </c>
      <c r="I37" s="52">
        <f>SUM(F37*14.49/30)</f>
        <v>19.32</v>
      </c>
      <c r="J37" s="52">
        <f>SUM(F37*70.14/30)</f>
        <v>93.52</v>
      </c>
      <c r="K37" s="42" t="s">
        <v>56</v>
      </c>
      <c r="L37" s="70">
        <v>3.55</v>
      </c>
    </row>
    <row r="38" spans="1:12" ht="15.75" x14ac:dyDescent="0.25">
      <c r="A38" s="14"/>
      <c r="B38" s="15"/>
      <c r="C38" s="11"/>
      <c r="D38" s="7" t="s">
        <v>31</v>
      </c>
      <c r="E38" s="51" t="s">
        <v>39</v>
      </c>
      <c r="F38" s="52">
        <v>30</v>
      </c>
      <c r="G38" s="52">
        <f>SUM(F38*1.68/30)</f>
        <v>1.68</v>
      </c>
      <c r="H38" s="52">
        <f>SUM(F38*0.33/30)</f>
        <v>0.33</v>
      </c>
      <c r="I38" s="52">
        <f>SUM(F38*14.82/30)</f>
        <v>14.82</v>
      </c>
      <c r="J38" s="52">
        <f>SUM(F38*68.97/30)</f>
        <v>68.97</v>
      </c>
      <c r="K38" s="42" t="s">
        <v>56</v>
      </c>
      <c r="L38" s="70">
        <v>3.5</v>
      </c>
    </row>
    <row r="39" spans="1:12" ht="15" x14ac:dyDescent="0.25">
      <c r="A39" s="14"/>
      <c r="B39" s="15"/>
      <c r="C39" s="11"/>
      <c r="D39" s="6"/>
      <c r="E39" s="40"/>
      <c r="F39" s="70"/>
      <c r="G39" s="70"/>
      <c r="H39" s="70"/>
      <c r="I39" s="70"/>
      <c r="J39" s="70"/>
      <c r="K39" s="42"/>
      <c r="L39" s="70"/>
    </row>
    <row r="40" spans="1:12" ht="15" x14ac:dyDescent="0.25">
      <c r="A40" s="14"/>
      <c r="B40" s="15"/>
      <c r="C40" s="11"/>
      <c r="D40" s="6"/>
      <c r="E40" s="40"/>
      <c r="F40" s="70"/>
      <c r="G40" s="70"/>
      <c r="H40" s="70"/>
      <c r="I40" s="70"/>
      <c r="J40" s="70"/>
      <c r="K40" s="42"/>
      <c r="L40" s="70"/>
    </row>
    <row r="41" spans="1:12" ht="15" x14ac:dyDescent="0.25">
      <c r="A41" s="16"/>
      <c r="B41" s="17"/>
      <c r="C41" s="8"/>
      <c r="D41" s="18" t="s">
        <v>32</v>
      </c>
      <c r="E41" s="9"/>
      <c r="F41" s="68">
        <f>SUM(F32:F40)</f>
        <v>860</v>
      </c>
      <c r="G41" s="68">
        <f t="shared" ref="G41" si="7">SUM(G32:G40)</f>
        <v>25.11</v>
      </c>
      <c r="H41" s="68">
        <f t="shared" ref="H41" si="8">SUM(H32:H40)</f>
        <v>30.189999999999998</v>
      </c>
      <c r="I41" s="68">
        <f t="shared" ref="I41" si="9">SUM(I32:I40)</f>
        <v>111.22999999999999</v>
      </c>
      <c r="J41" s="68">
        <f t="shared" ref="J41" si="10">SUM(J32:J40)</f>
        <v>817.21</v>
      </c>
      <c r="K41" s="25"/>
      <c r="L41" s="68">
        <f>SUM(L32:L40)</f>
        <v>125.03999999999999</v>
      </c>
    </row>
    <row r="42" spans="1:12" ht="15.75" customHeight="1" thickBot="1" x14ac:dyDescent="0.25">
      <c r="A42" s="33">
        <f>A24</f>
        <v>1</v>
      </c>
      <c r="B42" s="33">
        <f>B24</f>
        <v>2</v>
      </c>
      <c r="C42" s="114" t="s">
        <v>4</v>
      </c>
      <c r="D42" s="115"/>
      <c r="E42" s="31"/>
      <c r="F42" s="69">
        <f>F31+F41</f>
        <v>1437</v>
      </c>
      <c r="G42" s="69">
        <f t="shared" ref="G42" si="11">G31+G41</f>
        <v>49.887</v>
      </c>
      <c r="H42" s="69">
        <f t="shared" ref="H42" si="12">H31+H41</f>
        <v>55.152000000000001</v>
      </c>
      <c r="I42" s="69">
        <f t="shared" ref="I42" si="13">I31+I41</f>
        <v>191.08799999999999</v>
      </c>
      <c r="J42" s="69">
        <f t="shared" ref="J42:L42" si="14">J31+J41</f>
        <v>1460.4079999999999</v>
      </c>
      <c r="K42" s="32"/>
      <c r="L42" s="69">
        <f t="shared" si="14"/>
        <v>250.07999999999998</v>
      </c>
    </row>
    <row r="43" spans="1:12" ht="15.75" x14ac:dyDescent="0.25">
      <c r="A43" s="20">
        <v>1</v>
      </c>
      <c r="B43" s="21">
        <v>3</v>
      </c>
      <c r="C43" s="22" t="s">
        <v>20</v>
      </c>
      <c r="D43" s="5" t="s">
        <v>21</v>
      </c>
      <c r="E43" s="56" t="s">
        <v>52</v>
      </c>
      <c r="F43" s="52">
        <v>120</v>
      </c>
      <c r="G43" s="52">
        <f>F43*11.6/90</f>
        <v>15.466666666666667</v>
      </c>
      <c r="H43" s="52">
        <f>F43*11.6/90</f>
        <v>15.466666666666667</v>
      </c>
      <c r="I43" s="52">
        <f>F43*13.1/90</f>
        <v>17.466666666666665</v>
      </c>
      <c r="J43" s="52">
        <f>F43*203.4/90</f>
        <v>271.2</v>
      </c>
      <c r="K43" s="39">
        <v>4232</v>
      </c>
      <c r="L43" s="78">
        <v>71.3</v>
      </c>
    </row>
    <row r="44" spans="1:12" ht="15.75" x14ac:dyDescent="0.25">
      <c r="A44" s="23"/>
      <c r="B44" s="15"/>
      <c r="C44" s="11"/>
      <c r="D44" s="53" t="s">
        <v>28</v>
      </c>
      <c r="E44" s="59" t="s">
        <v>80</v>
      </c>
      <c r="F44" s="58">
        <v>150</v>
      </c>
      <c r="G44" s="58">
        <f>F44*3.22/150</f>
        <v>3.22</v>
      </c>
      <c r="H44" s="58">
        <f>F44*2.85/150</f>
        <v>2.85</v>
      </c>
      <c r="I44" s="58">
        <f>F44*11.9/150</f>
        <v>11.9</v>
      </c>
      <c r="J44" s="58">
        <f>F44*86.25/150</f>
        <v>86.25</v>
      </c>
      <c r="K44" s="42">
        <v>46.3</v>
      </c>
      <c r="L44" s="70">
        <v>10</v>
      </c>
    </row>
    <row r="45" spans="1:12" ht="15.75" x14ac:dyDescent="0.25">
      <c r="A45" s="23"/>
      <c r="B45" s="15"/>
      <c r="C45" s="11"/>
      <c r="D45" s="7" t="s">
        <v>22</v>
      </c>
      <c r="E45" s="56" t="s">
        <v>82</v>
      </c>
      <c r="F45" s="52">
        <v>200</v>
      </c>
      <c r="G45" s="52">
        <v>0.2</v>
      </c>
      <c r="H45" s="52">
        <v>0.1</v>
      </c>
      <c r="I45" s="52">
        <v>13.1</v>
      </c>
      <c r="J45" s="52">
        <v>54.1</v>
      </c>
      <c r="K45" s="42">
        <v>44357</v>
      </c>
      <c r="L45" s="70">
        <v>6.78</v>
      </c>
    </row>
    <row r="46" spans="1:12" ht="15.75" x14ac:dyDescent="0.25">
      <c r="A46" s="23"/>
      <c r="B46" s="15"/>
      <c r="C46" s="11"/>
      <c r="D46" s="7" t="s">
        <v>23</v>
      </c>
      <c r="E46" s="54" t="s">
        <v>43</v>
      </c>
      <c r="F46" s="52">
        <v>50</v>
      </c>
      <c r="G46" s="52">
        <f>SUM(F46*2.37/30)</f>
        <v>3.95</v>
      </c>
      <c r="H46" s="52">
        <f>SUM(F46*0.3/30)</f>
        <v>0.5</v>
      </c>
      <c r="I46" s="52">
        <f>SUM(F46*14.49/30)</f>
        <v>24.15</v>
      </c>
      <c r="J46" s="52">
        <f>SUM(F46*70.14/30)</f>
        <v>116.9</v>
      </c>
      <c r="K46" s="42" t="s">
        <v>56</v>
      </c>
      <c r="L46" s="70">
        <v>4.4400000000000004</v>
      </c>
    </row>
    <row r="47" spans="1:12" ht="15.75" x14ac:dyDescent="0.25">
      <c r="A47" s="23"/>
      <c r="B47" s="15"/>
      <c r="C47" s="11"/>
      <c r="D47" s="7" t="s">
        <v>23</v>
      </c>
      <c r="E47" s="51" t="s">
        <v>39</v>
      </c>
      <c r="F47" s="52">
        <v>30</v>
      </c>
      <c r="G47" s="52">
        <f>SUM(F47*1.68/30)</f>
        <v>1.68</v>
      </c>
      <c r="H47" s="52">
        <f>SUM(F47*0.33/30)</f>
        <v>0.33</v>
      </c>
      <c r="I47" s="52">
        <f>SUM(F47*14.82/30)</f>
        <v>14.82</v>
      </c>
      <c r="J47" s="52">
        <f>SUM(F47*68.97/30)</f>
        <v>68.97</v>
      </c>
      <c r="K47" s="42" t="s">
        <v>56</v>
      </c>
      <c r="L47" s="70">
        <v>3.07</v>
      </c>
    </row>
    <row r="48" spans="1:12" ht="31.5" x14ac:dyDescent="0.25">
      <c r="A48" s="23"/>
      <c r="B48" s="15"/>
      <c r="C48" s="11"/>
      <c r="D48" s="97" t="s">
        <v>25</v>
      </c>
      <c r="E48" s="98" t="s">
        <v>81</v>
      </c>
      <c r="F48" s="99">
        <v>60</v>
      </c>
      <c r="G48" s="52">
        <f>SUM(F48*1.68/30)</f>
        <v>3.36</v>
      </c>
      <c r="H48" s="52">
        <f>SUM(F48*0.33/30)</f>
        <v>0.66</v>
      </c>
      <c r="I48" s="52">
        <f>SUM(F48*14.82/30)</f>
        <v>29.64</v>
      </c>
      <c r="J48" s="52">
        <f>SUM(F48*68.97/30)</f>
        <v>137.94</v>
      </c>
      <c r="K48" s="100">
        <v>20</v>
      </c>
      <c r="L48" s="99">
        <v>29.45</v>
      </c>
    </row>
    <row r="49" spans="1:12" ht="15.75" x14ac:dyDescent="0.25">
      <c r="A49" s="23"/>
      <c r="B49" s="15"/>
      <c r="C49" s="11"/>
      <c r="D49" s="97"/>
      <c r="E49" s="98"/>
      <c r="F49" s="99"/>
      <c r="G49" s="99"/>
      <c r="H49" s="99"/>
      <c r="I49" s="99"/>
      <c r="J49" s="99"/>
      <c r="K49" s="100"/>
      <c r="L49" s="99"/>
    </row>
    <row r="50" spans="1:12" ht="15.75" x14ac:dyDescent="0.25">
      <c r="A50" s="24"/>
      <c r="B50" s="17"/>
      <c r="C50" s="8"/>
      <c r="D50" s="101" t="s">
        <v>32</v>
      </c>
      <c r="E50" s="102"/>
      <c r="F50" s="103">
        <f>SUM(F43:F49)</f>
        <v>610</v>
      </c>
      <c r="G50" s="103">
        <f t="shared" ref="G50" si="15">SUM(G43:G49)</f>
        <v>27.876666666666665</v>
      </c>
      <c r="H50" s="103">
        <f t="shared" ref="H50" si="16">SUM(H43:H49)</f>
        <v>19.906666666666666</v>
      </c>
      <c r="I50" s="103">
        <f t="shared" ref="I50" si="17">SUM(I43:I49)</f>
        <v>111.07666666666667</v>
      </c>
      <c r="J50" s="103">
        <f t="shared" ref="J50:L50" si="18">SUM(J43:J49)</f>
        <v>735.36000000000013</v>
      </c>
      <c r="K50" s="104"/>
      <c r="L50" s="103">
        <f t="shared" si="18"/>
        <v>125.03999999999999</v>
      </c>
    </row>
    <row r="51" spans="1:12" ht="31.5" x14ac:dyDescent="0.25">
      <c r="A51" s="26">
        <f>A43</f>
        <v>1</v>
      </c>
      <c r="B51" s="13">
        <f>B43</f>
        <v>3</v>
      </c>
      <c r="C51" s="10" t="s">
        <v>24</v>
      </c>
      <c r="D51" s="7" t="s">
        <v>25</v>
      </c>
      <c r="E51" s="56" t="s">
        <v>83</v>
      </c>
      <c r="F51" s="52">
        <v>60</v>
      </c>
      <c r="G51" s="52">
        <f>F51*1.4/100</f>
        <v>0.84</v>
      </c>
      <c r="H51" s="52">
        <f>F51*6/100</f>
        <v>3.6</v>
      </c>
      <c r="I51" s="52">
        <f>F51*6.8/100</f>
        <v>4.08</v>
      </c>
      <c r="J51" s="52">
        <f>F51*87/100</f>
        <v>52.2</v>
      </c>
      <c r="K51" s="74">
        <v>44348</v>
      </c>
      <c r="L51" s="70">
        <v>6.56</v>
      </c>
    </row>
    <row r="52" spans="1:12" ht="15.75" x14ac:dyDescent="0.25">
      <c r="A52" s="23"/>
      <c r="B52" s="15"/>
      <c r="C52" s="11"/>
      <c r="D52" s="7" t="s">
        <v>26</v>
      </c>
      <c r="E52" s="60" t="s">
        <v>84</v>
      </c>
      <c r="F52" s="52">
        <v>200</v>
      </c>
      <c r="G52" s="52">
        <f>F52*1.9/250+0.2</f>
        <v>1.72</v>
      </c>
      <c r="H52" s="52">
        <f>F52*4.1/250</f>
        <v>3.2799999999999994</v>
      </c>
      <c r="I52" s="52">
        <f>F52*8/250+0.4</f>
        <v>6.8000000000000007</v>
      </c>
      <c r="J52" s="52">
        <f>F52*77/250+3</f>
        <v>64.599999999999994</v>
      </c>
      <c r="K52" s="52">
        <v>22.2</v>
      </c>
      <c r="L52" s="70">
        <v>20.149999999999999</v>
      </c>
    </row>
    <row r="53" spans="1:12" ht="15.75" x14ac:dyDescent="0.25">
      <c r="A53" s="23"/>
      <c r="B53" s="15"/>
      <c r="C53" s="11"/>
      <c r="D53" s="7" t="s">
        <v>28</v>
      </c>
      <c r="E53" s="59" t="s">
        <v>130</v>
      </c>
      <c r="F53" s="52">
        <v>150</v>
      </c>
      <c r="G53" s="52">
        <f>F53*6.63/150</f>
        <v>6.63</v>
      </c>
      <c r="H53" s="52">
        <f>F53*4.44/150</f>
        <v>4.4400000000000004</v>
      </c>
      <c r="I53" s="52">
        <f>F53*28.8/150</f>
        <v>28.8</v>
      </c>
      <c r="J53" s="52">
        <f>F53*181.5/150</f>
        <v>181.5</v>
      </c>
      <c r="K53" s="52">
        <v>36.799999999999997</v>
      </c>
      <c r="L53" s="70">
        <v>21.08</v>
      </c>
    </row>
    <row r="54" spans="1:12" ht="15.75" x14ac:dyDescent="0.25">
      <c r="A54" s="23"/>
      <c r="B54" s="15"/>
      <c r="C54" s="11"/>
      <c r="D54" s="7" t="s">
        <v>27</v>
      </c>
      <c r="E54" s="60" t="s">
        <v>146</v>
      </c>
      <c r="F54" s="52">
        <v>90</v>
      </c>
      <c r="G54" s="52">
        <f>F54*10.44/90</f>
        <v>10.44</v>
      </c>
      <c r="H54" s="52">
        <f>F54*10.9/90</f>
        <v>10.9</v>
      </c>
      <c r="I54" s="52">
        <f>F54*10.07/90</f>
        <v>10.07</v>
      </c>
      <c r="J54" s="52">
        <f>F54*180.14/90</f>
        <v>180.14</v>
      </c>
      <c r="K54" s="52" t="s">
        <v>116</v>
      </c>
      <c r="L54" s="70">
        <v>64.64</v>
      </c>
    </row>
    <row r="55" spans="1:12" ht="15.75" x14ac:dyDescent="0.25">
      <c r="A55" s="23"/>
      <c r="B55" s="15"/>
      <c r="C55" s="11"/>
      <c r="D55" s="7" t="s">
        <v>29</v>
      </c>
      <c r="E55" s="59" t="s">
        <v>51</v>
      </c>
      <c r="F55" s="52">
        <v>200</v>
      </c>
      <c r="G55" s="52">
        <v>0</v>
      </c>
      <c r="H55" s="52">
        <v>0</v>
      </c>
      <c r="I55" s="52">
        <v>12</v>
      </c>
      <c r="J55" s="52">
        <v>48</v>
      </c>
      <c r="K55" s="52">
        <v>948</v>
      </c>
      <c r="L55" s="70">
        <v>5.54</v>
      </c>
    </row>
    <row r="56" spans="1:12" ht="15.75" x14ac:dyDescent="0.25">
      <c r="A56" s="23"/>
      <c r="B56" s="15"/>
      <c r="C56" s="11"/>
      <c r="D56" s="7" t="s">
        <v>30</v>
      </c>
      <c r="E56" s="54" t="s">
        <v>43</v>
      </c>
      <c r="F56" s="52">
        <v>30</v>
      </c>
      <c r="G56" s="52">
        <f>SUM(F56*2.37/30)</f>
        <v>2.37</v>
      </c>
      <c r="H56" s="52">
        <f>SUM(F56*0.3/30)</f>
        <v>0.3</v>
      </c>
      <c r="I56" s="52">
        <f>SUM(F56*14.49/30)</f>
        <v>14.49</v>
      </c>
      <c r="J56" s="52">
        <f>SUM(F56*70.14/30)</f>
        <v>70.14</v>
      </c>
      <c r="K56" s="42" t="s">
        <v>56</v>
      </c>
      <c r="L56" s="70">
        <v>4.4400000000000004</v>
      </c>
    </row>
    <row r="57" spans="1:12" ht="15.75" x14ac:dyDescent="0.25">
      <c r="A57" s="23"/>
      <c r="B57" s="15"/>
      <c r="C57" s="11"/>
      <c r="D57" s="7" t="s">
        <v>31</v>
      </c>
      <c r="E57" s="51" t="s">
        <v>39</v>
      </c>
      <c r="F57" s="52">
        <v>30</v>
      </c>
      <c r="G57" s="52">
        <f>SUM(F57*1.68/30)</f>
        <v>1.68</v>
      </c>
      <c r="H57" s="52">
        <f>SUM(F57*0.33/30)</f>
        <v>0.33</v>
      </c>
      <c r="I57" s="52">
        <f>SUM(F57*14.82/30)</f>
        <v>14.82</v>
      </c>
      <c r="J57" s="52">
        <f>SUM(F57*68.97/30)</f>
        <v>68.97</v>
      </c>
      <c r="K57" s="42" t="s">
        <v>56</v>
      </c>
      <c r="L57" s="70">
        <v>2.63</v>
      </c>
    </row>
    <row r="58" spans="1:12" ht="15" x14ac:dyDescent="0.25">
      <c r="A58" s="23"/>
      <c r="B58" s="15"/>
      <c r="C58" s="11"/>
      <c r="D58" s="6"/>
      <c r="E58" s="40"/>
      <c r="F58" s="70"/>
      <c r="G58" s="70"/>
      <c r="H58" s="70"/>
      <c r="I58" s="70"/>
      <c r="J58" s="70"/>
      <c r="K58" s="42"/>
      <c r="L58" s="70"/>
    </row>
    <row r="59" spans="1:12" ht="15" x14ac:dyDescent="0.25">
      <c r="A59" s="23"/>
      <c r="B59" s="15"/>
      <c r="C59" s="11"/>
      <c r="D59" s="6"/>
      <c r="E59" s="40"/>
      <c r="F59" s="70"/>
      <c r="G59" s="70"/>
      <c r="H59" s="70"/>
      <c r="I59" s="70"/>
      <c r="J59" s="70"/>
      <c r="K59" s="42"/>
      <c r="L59" s="70"/>
    </row>
    <row r="60" spans="1:12" ht="15" x14ac:dyDescent="0.25">
      <c r="A60" s="24"/>
      <c r="B60" s="17"/>
      <c r="C60" s="8"/>
      <c r="D60" s="18" t="s">
        <v>32</v>
      </c>
      <c r="E60" s="9"/>
      <c r="F60" s="68">
        <f>SUM(F51:F59)</f>
        <v>760</v>
      </c>
      <c r="G60" s="68">
        <f t="shared" ref="G60" si="19">SUM(G51:G59)</f>
        <v>23.68</v>
      </c>
      <c r="H60" s="68">
        <f t="shared" ref="H60" si="20">SUM(H51:H59)</f>
        <v>22.849999999999998</v>
      </c>
      <c r="I60" s="68">
        <f t="shared" ref="I60" si="21">SUM(I51:I59)</f>
        <v>91.06</v>
      </c>
      <c r="J60" s="68">
        <f t="shared" ref="J60:L60" si="22">SUM(J51:J59)</f>
        <v>665.55000000000007</v>
      </c>
      <c r="K60" s="25"/>
      <c r="L60" s="68">
        <f t="shared" si="22"/>
        <v>125.03999999999999</v>
      </c>
    </row>
    <row r="61" spans="1:12" ht="15.75" customHeight="1" thickBot="1" x14ac:dyDescent="0.25">
      <c r="A61" s="29">
        <f>A43</f>
        <v>1</v>
      </c>
      <c r="B61" s="30">
        <f>B43</f>
        <v>3</v>
      </c>
      <c r="C61" s="114" t="s">
        <v>4</v>
      </c>
      <c r="D61" s="115"/>
      <c r="E61" s="31"/>
      <c r="F61" s="69">
        <f>F50+F60</f>
        <v>1370</v>
      </c>
      <c r="G61" s="69">
        <f t="shared" ref="G61" si="23">G50+G60</f>
        <v>51.556666666666665</v>
      </c>
      <c r="H61" s="69">
        <f t="shared" ref="H61" si="24">H50+H60</f>
        <v>42.756666666666661</v>
      </c>
      <c r="I61" s="69">
        <f t="shared" ref="I61" si="25">I50+I60</f>
        <v>202.13666666666666</v>
      </c>
      <c r="J61" s="69">
        <f t="shared" ref="J61:L61" si="26">J50+J60</f>
        <v>1400.9100000000003</v>
      </c>
      <c r="K61" s="32"/>
      <c r="L61" s="69">
        <f t="shared" si="26"/>
        <v>250.07999999999998</v>
      </c>
    </row>
    <row r="62" spans="1:12" ht="15.75" x14ac:dyDescent="0.25">
      <c r="A62" s="20">
        <v>1</v>
      </c>
      <c r="B62" s="21">
        <v>4</v>
      </c>
      <c r="C62" s="22" t="s">
        <v>20</v>
      </c>
      <c r="D62" s="5" t="s">
        <v>21</v>
      </c>
      <c r="E62" s="61" t="s">
        <v>85</v>
      </c>
      <c r="F62" s="62">
        <v>203</v>
      </c>
      <c r="G62" s="58">
        <f>F62*9.7/100+0.1</f>
        <v>19.791</v>
      </c>
      <c r="H62" s="58">
        <f>F62*10.6/100</f>
        <v>21.517999999999997</v>
      </c>
      <c r="I62" s="58">
        <f>F62*1.7/100</f>
        <v>3.4509999999999996</v>
      </c>
      <c r="J62" s="58">
        <f>F62*141/100</f>
        <v>286.23</v>
      </c>
      <c r="K62" s="39">
        <v>44233</v>
      </c>
      <c r="L62" s="79">
        <v>81.02</v>
      </c>
    </row>
    <row r="63" spans="1:12" ht="15.75" x14ac:dyDescent="0.25">
      <c r="A63" s="23"/>
      <c r="B63" s="15"/>
      <c r="C63" s="11"/>
      <c r="D63" s="7" t="s">
        <v>29</v>
      </c>
      <c r="E63" s="52" t="s">
        <v>152</v>
      </c>
      <c r="F63" s="52">
        <v>200</v>
      </c>
      <c r="G63" s="52">
        <v>0.1</v>
      </c>
      <c r="H63" s="52"/>
      <c r="I63" s="52">
        <v>9.8000000000000007</v>
      </c>
      <c r="J63" s="52">
        <v>39</v>
      </c>
      <c r="K63" s="65" t="s">
        <v>131</v>
      </c>
      <c r="L63" s="71">
        <v>5.24</v>
      </c>
    </row>
    <row r="64" spans="1:12" ht="15.75" x14ac:dyDescent="0.25">
      <c r="A64" s="23"/>
      <c r="B64" s="15"/>
      <c r="C64" s="11"/>
      <c r="D64" s="105" t="s">
        <v>25</v>
      </c>
      <c r="E64" s="54" t="s">
        <v>55</v>
      </c>
      <c r="F64" s="52">
        <v>60</v>
      </c>
      <c r="G64" s="52">
        <f>SUM(F64*2.37/30)</f>
        <v>4.74</v>
      </c>
      <c r="H64" s="52">
        <f>SUM(F64*0.3/30)</f>
        <v>0.6</v>
      </c>
      <c r="I64" s="52">
        <f>SUM(F64*14.49/30)</f>
        <v>28.98</v>
      </c>
      <c r="J64" s="52">
        <f>SUM(F64*70.14/30)</f>
        <v>140.28</v>
      </c>
      <c r="K64" s="42">
        <v>44240</v>
      </c>
      <c r="L64" s="70">
        <v>35.28</v>
      </c>
    </row>
    <row r="65" spans="1:12" ht="15.75" x14ac:dyDescent="0.25">
      <c r="A65" s="23"/>
      <c r="B65" s="15"/>
      <c r="C65" s="11"/>
      <c r="D65" s="64" t="s">
        <v>54</v>
      </c>
      <c r="E65" s="51" t="s">
        <v>39</v>
      </c>
      <c r="F65" s="52">
        <v>50</v>
      </c>
      <c r="G65" s="52">
        <f>SUM(F65*1.68/30)</f>
        <v>2.8</v>
      </c>
      <c r="H65" s="52">
        <f>SUM(F65*0.33/30)</f>
        <v>0.55000000000000004</v>
      </c>
      <c r="I65" s="52">
        <f>SUM(F65*14.82/30)</f>
        <v>24.7</v>
      </c>
      <c r="J65" s="52">
        <f>SUM(F65*68.97/30)</f>
        <v>114.95</v>
      </c>
      <c r="K65" s="42" t="s">
        <v>56</v>
      </c>
      <c r="L65" s="70">
        <v>3.5</v>
      </c>
    </row>
    <row r="66" spans="1:12" ht="15" x14ac:dyDescent="0.25">
      <c r="A66" s="23"/>
      <c r="B66" s="15"/>
      <c r="C66" s="11"/>
      <c r="D66" s="6"/>
      <c r="E66" s="40"/>
      <c r="F66" s="70"/>
      <c r="G66" s="70"/>
      <c r="H66" s="70"/>
      <c r="I66" s="70"/>
      <c r="J66" s="70"/>
      <c r="K66" s="42"/>
      <c r="L66" s="70"/>
    </row>
    <row r="67" spans="1:12" ht="15" x14ac:dyDescent="0.25">
      <c r="A67" s="24"/>
      <c r="B67" s="17"/>
      <c r="C67" s="8"/>
      <c r="D67" s="18" t="s">
        <v>32</v>
      </c>
      <c r="E67" s="9"/>
      <c r="F67" s="68">
        <f>SUM(F62:F66)</f>
        <v>513</v>
      </c>
      <c r="G67" s="68">
        <f>SUM(G62:G66)</f>
        <v>27.431000000000001</v>
      </c>
      <c r="H67" s="68">
        <f>SUM(H62:H66)</f>
        <v>22.667999999999999</v>
      </c>
      <c r="I67" s="68">
        <f>SUM(I62:I66)</f>
        <v>66.930999999999997</v>
      </c>
      <c r="J67" s="68">
        <f>SUM(J62:J66)</f>
        <v>580.46</v>
      </c>
      <c r="K67" s="25"/>
      <c r="L67" s="68">
        <f>SUM(L62:L66)</f>
        <v>125.03999999999999</v>
      </c>
    </row>
    <row r="68" spans="1:12" ht="31.5" x14ac:dyDescent="0.25">
      <c r="A68" s="26">
        <f>A62</f>
        <v>1</v>
      </c>
      <c r="B68" s="13">
        <f>B62</f>
        <v>4</v>
      </c>
      <c r="C68" s="10" t="s">
        <v>24</v>
      </c>
      <c r="D68" s="7" t="s">
        <v>25</v>
      </c>
      <c r="E68" s="60" t="s">
        <v>141</v>
      </c>
      <c r="F68" s="58">
        <v>60</v>
      </c>
      <c r="G68" s="52">
        <f>F68*1.3/100</f>
        <v>0.78</v>
      </c>
      <c r="H68" s="52">
        <f>F68*8.9/100</f>
        <v>5.34</v>
      </c>
      <c r="I68" s="52">
        <f>F68*6.7/100</f>
        <v>4.0199999999999996</v>
      </c>
      <c r="J68" s="52">
        <f>F68*112/100</f>
        <v>67.2</v>
      </c>
      <c r="K68" s="65" t="s">
        <v>112</v>
      </c>
      <c r="L68" s="70">
        <v>15.64</v>
      </c>
    </row>
    <row r="69" spans="1:12" ht="15.75" x14ac:dyDescent="0.25">
      <c r="A69" s="23"/>
      <c r="B69" s="15"/>
      <c r="C69" s="11"/>
      <c r="D69" s="7" t="s">
        <v>26</v>
      </c>
      <c r="E69" s="63" t="s">
        <v>87</v>
      </c>
      <c r="F69" s="52">
        <v>200</v>
      </c>
      <c r="G69" s="58">
        <f>F69*2.5/250+0.2</f>
        <v>2.2000000000000002</v>
      </c>
      <c r="H69" s="58">
        <f>F69*5.4/250</f>
        <v>4.32</v>
      </c>
      <c r="I69" s="58">
        <f>F69*16.6/250+0.4</f>
        <v>13.680000000000001</v>
      </c>
      <c r="J69" s="58">
        <f>F69*125/250+3</f>
        <v>103</v>
      </c>
      <c r="K69" s="42">
        <v>73</v>
      </c>
      <c r="L69" s="70">
        <v>24.25</v>
      </c>
    </row>
    <row r="70" spans="1:12" ht="15.75" x14ac:dyDescent="0.25">
      <c r="A70" s="23"/>
      <c r="B70" s="15"/>
      <c r="C70" s="11"/>
      <c r="D70" s="7" t="s">
        <v>27</v>
      </c>
      <c r="E70" s="60" t="s">
        <v>88</v>
      </c>
      <c r="F70" s="52">
        <v>90</v>
      </c>
      <c r="G70" s="58">
        <f>F70*13.1/130</f>
        <v>9.069230769230769</v>
      </c>
      <c r="H70" s="58">
        <f>F70*9.2/130</f>
        <v>6.3692307692307679</v>
      </c>
      <c r="I70" s="58">
        <f>F70*11.8/130</f>
        <v>8.1692307692307686</v>
      </c>
      <c r="J70" s="58">
        <f>F70*183/130</f>
        <v>126.69230769230769</v>
      </c>
      <c r="K70" s="42">
        <v>64</v>
      </c>
      <c r="L70" s="70">
        <v>52.41</v>
      </c>
    </row>
    <row r="71" spans="1:12" ht="15.75" x14ac:dyDescent="0.25">
      <c r="A71" s="23"/>
      <c r="B71" s="15"/>
      <c r="C71" s="11"/>
      <c r="D71" s="7" t="s">
        <v>28</v>
      </c>
      <c r="E71" s="59" t="s">
        <v>142</v>
      </c>
      <c r="F71" s="52">
        <v>150</v>
      </c>
      <c r="G71" s="52">
        <f>F71*3.15/150</f>
        <v>3.15</v>
      </c>
      <c r="H71" s="52">
        <f>F71*3.67/150</f>
        <v>3.67</v>
      </c>
      <c r="I71" s="52">
        <f>F71*20.4/150</f>
        <v>20.399999999999999</v>
      </c>
      <c r="J71" s="58">
        <f>F71*127.5/150</f>
        <v>127.5</v>
      </c>
      <c r="K71" s="42">
        <v>9.85</v>
      </c>
      <c r="L71" s="70">
        <v>10.36</v>
      </c>
    </row>
    <row r="72" spans="1:12" ht="15.75" x14ac:dyDescent="0.25">
      <c r="A72" s="23"/>
      <c r="B72" s="15"/>
      <c r="C72" s="11"/>
      <c r="D72" s="7" t="s">
        <v>29</v>
      </c>
      <c r="E72" s="59" t="s">
        <v>64</v>
      </c>
      <c r="F72" s="52">
        <v>200</v>
      </c>
      <c r="G72" s="52">
        <v>0</v>
      </c>
      <c r="H72" s="52">
        <v>0</v>
      </c>
      <c r="I72" s="52">
        <v>27.8</v>
      </c>
      <c r="J72" s="52">
        <v>111</v>
      </c>
      <c r="K72" s="42">
        <v>44296</v>
      </c>
      <c r="L72" s="70">
        <v>15.31</v>
      </c>
    </row>
    <row r="73" spans="1:12" ht="15.75" x14ac:dyDescent="0.25">
      <c r="A73" s="23"/>
      <c r="B73" s="15"/>
      <c r="C73" s="11"/>
      <c r="D73" s="7" t="s">
        <v>30</v>
      </c>
      <c r="E73" s="54" t="s">
        <v>43</v>
      </c>
      <c r="F73" s="52">
        <v>50</v>
      </c>
      <c r="G73" s="52">
        <f>SUM(F73*2.37/30)</f>
        <v>3.95</v>
      </c>
      <c r="H73" s="52">
        <f>SUM(F73*0.3/30)</f>
        <v>0.5</v>
      </c>
      <c r="I73" s="52">
        <f>SUM(F73*14.49/30)</f>
        <v>24.15</v>
      </c>
      <c r="J73" s="52">
        <f>SUM(F73*70.14/30)</f>
        <v>116.9</v>
      </c>
      <c r="K73" s="42" t="s">
        <v>56</v>
      </c>
      <c r="L73" s="70">
        <v>4.4400000000000004</v>
      </c>
    </row>
    <row r="74" spans="1:12" ht="15.75" x14ac:dyDescent="0.25">
      <c r="A74" s="23"/>
      <c r="B74" s="15"/>
      <c r="C74" s="11"/>
      <c r="D74" s="7" t="s">
        <v>31</v>
      </c>
      <c r="E74" s="51" t="s">
        <v>39</v>
      </c>
      <c r="F74" s="52">
        <v>30</v>
      </c>
      <c r="G74" s="52">
        <f>SUM(F74*1.68/30)</f>
        <v>1.68</v>
      </c>
      <c r="H74" s="52">
        <f>SUM(F74*0.33/30)</f>
        <v>0.33</v>
      </c>
      <c r="I74" s="52">
        <f>SUM(F74*14.82/30)</f>
        <v>14.82</v>
      </c>
      <c r="J74" s="52">
        <f>SUM(F74*68.97/30)</f>
        <v>68.97</v>
      </c>
      <c r="K74" s="42" t="s">
        <v>56</v>
      </c>
      <c r="L74" s="70">
        <v>2.63</v>
      </c>
    </row>
    <row r="75" spans="1:12" ht="15" x14ac:dyDescent="0.25">
      <c r="A75" s="23"/>
      <c r="B75" s="15"/>
      <c r="C75" s="11"/>
      <c r="D75" s="6"/>
      <c r="E75" s="40"/>
      <c r="F75" s="70"/>
      <c r="G75" s="70"/>
      <c r="H75" s="70"/>
      <c r="I75" s="70"/>
      <c r="J75" s="70"/>
      <c r="K75" s="42"/>
      <c r="L75" s="70"/>
    </row>
    <row r="76" spans="1:12" ht="15" x14ac:dyDescent="0.25">
      <c r="A76" s="23"/>
      <c r="B76" s="15"/>
      <c r="C76" s="11"/>
      <c r="D76" s="6"/>
      <c r="E76" s="40"/>
      <c r="F76" s="70"/>
      <c r="G76" s="70"/>
      <c r="H76" s="70"/>
      <c r="I76" s="70"/>
      <c r="J76" s="70"/>
      <c r="K76" s="42"/>
      <c r="L76" s="70"/>
    </row>
    <row r="77" spans="1:12" ht="15" x14ac:dyDescent="0.25">
      <c r="A77" s="24"/>
      <c r="B77" s="17"/>
      <c r="C77" s="8"/>
      <c r="D77" s="18" t="s">
        <v>32</v>
      </c>
      <c r="E77" s="9"/>
      <c r="F77" s="68">
        <f>SUM(F68:F76)</f>
        <v>780</v>
      </c>
      <c r="G77" s="68">
        <f t="shared" ref="G77" si="27">SUM(G68:G76)</f>
        <v>20.829230769230769</v>
      </c>
      <c r="H77" s="68">
        <f t="shared" ref="H77" si="28">SUM(H68:H76)</f>
        <v>20.529230769230765</v>
      </c>
      <c r="I77" s="68">
        <f t="shared" ref="I77" si="29">SUM(I68:I76)</f>
        <v>113.03923076923076</v>
      </c>
      <c r="J77" s="68">
        <f t="shared" ref="J77:L77" si="30">SUM(J68:J76)</f>
        <v>721.26230769230767</v>
      </c>
      <c r="K77" s="25"/>
      <c r="L77" s="68">
        <f t="shared" si="30"/>
        <v>125.03999999999999</v>
      </c>
    </row>
    <row r="78" spans="1:12" ht="15.75" customHeight="1" thickBot="1" x14ac:dyDescent="0.25">
      <c r="A78" s="29">
        <f>A62</f>
        <v>1</v>
      </c>
      <c r="B78" s="30">
        <f>B62</f>
        <v>4</v>
      </c>
      <c r="C78" s="114" t="s">
        <v>4</v>
      </c>
      <c r="D78" s="115"/>
      <c r="E78" s="31"/>
      <c r="F78" s="69">
        <f>F67+F77</f>
        <v>1293</v>
      </c>
      <c r="G78" s="69">
        <f t="shared" ref="G78" si="31">G67+G77</f>
        <v>48.260230769230773</v>
      </c>
      <c r="H78" s="69">
        <f t="shared" ref="H78" si="32">H67+H77</f>
        <v>43.197230769230764</v>
      </c>
      <c r="I78" s="69">
        <f t="shared" ref="I78" si="33">I67+I77</f>
        <v>179.97023076923074</v>
      </c>
      <c r="J78" s="69">
        <f t="shared" ref="J78:L78" si="34">J67+J77</f>
        <v>1301.7223076923078</v>
      </c>
      <c r="K78" s="32"/>
      <c r="L78" s="69">
        <f t="shared" si="34"/>
        <v>250.07999999999998</v>
      </c>
    </row>
    <row r="79" spans="1:12" ht="15.75" x14ac:dyDescent="0.25">
      <c r="A79" s="20">
        <v>1</v>
      </c>
      <c r="B79" s="21">
        <v>5</v>
      </c>
      <c r="C79" s="22" t="s">
        <v>20</v>
      </c>
      <c r="D79" s="5" t="s">
        <v>21</v>
      </c>
      <c r="E79" s="60" t="s">
        <v>60</v>
      </c>
      <c r="F79" s="52">
        <v>95</v>
      </c>
      <c r="G79" s="52">
        <v>13.3</v>
      </c>
      <c r="H79" s="52">
        <v>14.25</v>
      </c>
      <c r="I79" s="52">
        <v>8.27</v>
      </c>
      <c r="J79" s="52">
        <v>214.51</v>
      </c>
      <c r="K79" s="75">
        <v>23</v>
      </c>
      <c r="L79" s="78">
        <v>67.48</v>
      </c>
    </row>
    <row r="80" spans="1:12" ht="15.75" x14ac:dyDescent="0.25">
      <c r="A80" s="23"/>
      <c r="B80" s="15"/>
      <c r="C80" s="11"/>
      <c r="D80" s="53" t="s">
        <v>28</v>
      </c>
      <c r="E80" s="51" t="s">
        <v>147</v>
      </c>
      <c r="F80" s="50">
        <v>170</v>
      </c>
      <c r="G80" s="52">
        <v>3.17</v>
      </c>
      <c r="H80" s="52">
        <v>3.67</v>
      </c>
      <c r="I80" s="52">
        <v>20.399999999999999</v>
      </c>
      <c r="J80" s="52">
        <v>127.5</v>
      </c>
      <c r="K80" s="76">
        <v>44258</v>
      </c>
      <c r="L80" s="70">
        <v>29.62</v>
      </c>
    </row>
    <row r="81" spans="1:12" ht="15.75" x14ac:dyDescent="0.25">
      <c r="A81" s="23"/>
      <c r="B81" s="15"/>
      <c r="C81" s="11"/>
      <c r="D81" s="64" t="s">
        <v>29</v>
      </c>
      <c r="E81" s="52" t="s">
        <v>148</v>
      </c>
      <c r="F81" s="52">
        <v>200</v>
      </c>
      <c r="G81" s="52">
        <v>3.6</v>
      </c>
      <c r="H81" s="52">
        <v>3.3</v>
      </c>
      <c r="I81" s="52">
        <v>22.8</v>
      </c>
      <c r="J81" s="52">
        <v>135</v>
      </c>
      <c r="K81" s="77" t="s">
        <v>104</v>
      </c>
      <c r="L81" s="70">
        <v>21.76</v>
      </c>
    </row>
    <row r="82" spans="1:12" ht="15.75" x14ac:dyDescent="0.25">
      <c r="A82" s="23"/>
      <c r="B82" s="15"/>
      <c r="C82" s="11"/>
      <c r="D82" s="64" t="s">
        <v>31</v>
      </c>
      <c r="E82" s="51" t="s">
        <v>39</v>
      </c>
      <c r="F82" s="58">
        <v>40</v>
      </c>
      <c r="G82" s="58">
        <v>3.16</v>
      </c>
      <c r="H82" s="58">
        <v>0.4</v>
      </c>
      <c r="I82" s="58">
        <v>19.32</v>
      </c>
      <c r="J82" s="58">
        <v>93.52</v>
      </c>
      <c r="K82" s="73" t="s">
        <v>56</v>
      </c>
      <c r="L82" s="70">
        <v>3.55</v>
      </c>
    </row>
    <row r="83" spans="1:12" ht="15.75" x14ac:dyDescent="0.25">
      <c r="A83" s="23"/>
      <c r="B83" s="15"/>
      <c r="C83" s="11"/>
      <c r="D83" s="64" t="s">
        <v>31</v>
      </c>
      <c r="E83" s="51" t="s">
        <v>43</v>
      </c>
      <c r="F83" s="58">
        <v>30</v>
      </c>
      <c r="G83" s="58">
        <v>1.68</v>
      </c>
      <c r="H83" s="58">
        <v>0.33</v>
      </c>
      <c r="I83" s="58">
        <v>14.82</v>
      </c>
      <c r="J83" s="58">
        <v>68.97</v>
      </c>
      <c r="K83" s="42" t="s">
        <v>56</v>
      </c>
      <c r="L83" s="70">
        <v>2.63</v>
      </c>
    </row>
    <row r="84" spans="1:12" ht="15" x14ac:dyDescent="0.25">
      <c r="A84" s="24"/>
      <c r="B84" s="17"/>
      <c r="C84" s="8"/>
      <c r="D84" s="18" t="s">
        <v>32</v>
      </c>
      <c r="E84" s="9"/>
      <c r="F84" s="68">
        <f>SUM(F79:F83)</f>
        <v>535</v>
      </c>
      <c r="G84" s="68">
        <f>SUM(G79:G83)</f>
        <v>24.91</v>
      </c>
      <c r="H84" s="68">
        <f>SUM(H79:H83)</f>
        <v>21.95</v>
      </c>
      <c r="I84" s="68">
        <f>SUM(I79:I83)</f>
        <v>85.609999999999985</v>
      </c>
      <c r="J84" s="68">
        <f>SUM(J79:J83)</f>
        <v>639.5</v>
      </c>
      <c r="K84" s="25"/>
      <c r="L84" s="68">
        <f>SUM(L79:L83)</f>
        <v>125.04</v>
      </c>
    </row>
    <row r="85" spans="1:12" ht="15.75" x14ac:dyDescent="0.25">
      <c r="A85" s="26">
        <f>A79</f>
        <v>1</v>
      </c>
      <c r="B85" s="13">
        <f>B79</f>
        <v>5</v>
      </c>
      <c r="C85" s="10" t="s">
        <v>24</v>
      </c>
      <c r="D85" s="7" t="s">
        <v>25</v>
      </c>
      <c r="E85" s="54" t="s">
        <v>90</v>
      </c>
      <c r="F85" s="52">
        <v>60</v>
      </c>
      <c r="G85" s="52">
        <f>F85*1.5/100</f>
        <v>0.9</v>
      </c>
      <c r="H85" s="52">
        <f>F85*6/100</f>
        <v>3.6</v>
      </c>
      <c r="I85" s="52">
        <f>F85*7.5/100</f>
        <v>4.5</v>
      </c>
      <c r="J85" s="52">
        <f>F85*90/100</f>
        <v>54</v>
      </c>
      <c r="K85" s="42" t="s">
        <v>117</v>
      </c>
      <c r="L85" s="70">
        <v>5.65</v>
      </c>
    </row>
    <row r="86" spans="1:12" ht="15.75" x14ac:dyDescent="0.25">
      <c r="A86" s="23"/>
      <c r="B86" s="15"/>
      <c r="C86" s="11"/>
      <c r="D86" s="7" t="s">
        <v>26</v>
      </c>
      <c r="E86" s="60" t="s">
        <v>91</v>
      </c>
      <c r="F86" s="58">
        <v>200</v>
      </c>
      <c r="G86" s="58">
        <f>F86*2/250+4.7</f>
        <v>6.3000000000000007</v>
      </c>
      <c r="H86" s="58">
        <f>F86*6.9/250+4.5</f>
        <v>10.02</v>
      </c>
      <c r="I86" s="58">
        <f>F86*11/250</f>
        <v>8.8000000000000007</v>
      </c>
      <c r="J86" s="58">
        <f>F86*114/250+59.3</f>
        <v>150.5</v>
      </c>
      <c r="K86" s="42">
        <v>20.2</v>
      </c>
      <c r="L86" s="70">
        <v>26.39</v>
      </c>
    </row>
    <row r="87" spans="1:12" ht="15.75" x14ac:dyDescent="0.25">
      <c r="A87" s="23"/>
      <c r="B87" s="15"/>
      <c r="C87" s="11"/>
      <c r="D87" s="7" t="s">
        <v>27</v>
      </c>
      <c r="E87" s="59" t="s">
        <v>74</v>
      </c>
      <c r="F87" s="58">
        <v>200</v>
      </c>
      <c r="G87" s="58">
        <f>F87*18.5/250</f>
        <v>14.8</v>
      </c>
      <c r="H87" s="58">
        <f>F87*20.6/250</f>
        <v>16.48</v>
      </c>
      <c r="I87" s="58">
        <f>F87*43.2/250</f>
        <v>34.56</v>
      </c>
      <c r="J87" s="58">
        <f>F87*442/250</f>
        <v>353.6</v>
      </c>
      <c r="K87" s="42">
        <v>44294</v>
      </c>
      <c r="L87" s="70">
        <v>77.5</v>
      </c>
    </row>
    <row r="88" spans="1:12" ht="15.75" x14ac:dyDescent="0.25">
      <c r="A88" s="23"/>
      <c r="B88" s="15"/>
      <c r="C88" s="11"/>
      <c r="D88" s="7" t="s">
        <v>29</v>
      </c>
      <c r="E88" s="56" t="s">
        <v>48</v>
      </c>
      <c r="F88" s="58">
        <v>200</v>
      </c>
      <c r="G88" s="58">
        <v>0.2</v>
      </c>
      <c r="H88" s="58">
        <v>0.1</v>
      </c>
      <c r="I88" s="58">
        <v>13.1</v>
      </c>
      <c r="J88" s="58">
        <v>54.1</v>
      </c>
      <c r="K88" s="71">
        <v>37.1</v>
      </c>
      <c r="L88" s="70">
        <v>7.82</v>
      </c>
    </row>
    <row r="89" spans="1:12" ht="15.75" x14ac:dyDescent="0.25">
      <c r="A89" s="23"/>
      <c r="B89" s="15"/>
      <c r="C89" s="11"/>
      <c r="D89" s="7" t="s">
        <v>30</v>
      </c>
      <c r="E89" s="54" t="s">
        <v>43</v>
      </c>
      <c r="F89" s="58">
        <v>50</v>
      </c>
      <c r="G89" s="58">
        <f>SUM(F89*2.37/30)</f>
        <v>3.95</v>
      </c>
      <c r="H89" s="58">
        <f>SUM(F89*0.3/30)</f>
        <v>0.5</v>
      </c>
      <c r="I89" s="58">
        <f>SUM(F89*14.49/30)</f>
        <v>24.15</v>
      </c>
      <c r="J89" s="58">
        <f>SUM(F89*70.14/30)</f>
        <v>116.9</v>
      </c>
      <c r="K89" s="42" t="s">
        <v>56</v>
      </c>
      <c r="L89" s="70">
        <v>4.4400000000000004</v>
      </c>
    </row>
    <row r="90" spans="1:12" ht="15.75" x14ac:dyDescent="0.25">
      <c r="A90" s="23"/>
      <c r="B90" s="15"/>
      <c r="C90" s="11"/>
      <c r="D90" s="7" t="s">
        <v>31</v>
      </c>
      <c r="E90" s="51" t="s">
        <v>39</v>
      </c>
      <c r="F90" s="58">
        <v>35</v>
      </c>
      <c r="G90" s="58">
        <f>SUM(F90*1.68/30)</f>
        <v>1.96</v>
      </c>
      <c r="H90" s="58">
        <f>SUM(F90*0.33/30)</f>
        <v>0.38500000000000001</v>
      </c>
      <c r="I90" s="58">
        <f>SUM(F90*14.82/30)</f>
        <v>17.290000000000003</v>
      </c>
      <c r="J90" s="58">
        <f>SUM(F90*68.97/30)</f>
        <v>80.464999999999989</v>
      </c>
      <c r="K90" s="42" t="s">
        <v>56</v>
      </c>
      <c r="L90" s="70">
        <v>3.24</v>
      </c>
    </row>
    <row r="91" spans="1:12" ht="15" x14ac:dyDescent="0.25">
      <c r="A91" s="23"/>
      <c r="B91" s="15"/>
      <c r="C91" s="11"/>
      <c r="D91" s="6"/>
      <c r="E91" s="40"/>
      <c r="F91" s="70"/>
      <c r="G91" s="70"/>
      <c r="H91" s="70"/>
      <c r="I91" s="70"/>
      <c r="J91" s="70"/>
      <c r="K91" s="42"/>
      <c r="L91" s="70"/>
    </row>
    <row r="92" spans="1:12" ht="15" x14ac:dyDescent="0.25">
      <c r="A92" s="23"/>
      <c r="B92" s="15"/>
      <c r="C92" s="11"/>
      <c r="D92" s="6"/>
      <c r="E92" s="40"/>
      <c r="F92" s="70"/>
      <c r="G92" s="70"/>
      <c r="H92" s="70"/>
      <c r="I92" s="70"/>
      <c r="J92" s="70"/>
      <c r="K92" s="42"/>
      <c r="L92" s="70"/>
    </row>
    <row r="93" spans="1:12" ht="15" x14ac:dyDescent="0.25">
      <c r="A93" s="24"/>
      <c r="B93" s="17"/>
      <c r="C93" s="8"/>
      <c r="D93" s="18" t="s">
        <v>32</v>
      </c>
      <c r="E93" s="9"/>
      <c r="F93" s="68">
        <f>SUM(F85:F92)</f>
        <v>745</v>
      </c>
      <c r="G93" s="68">
        <f>SUM(G85:G92)</f>
        <v>28.11</v>
      </c>
      <c r="H93" s="68">
        <f>SUM(H85:H92)</f>
        <v>31.085000000000004</v>
      </c>
      <c r="I93" s="68">
        <f>SUM(I85:I92)</f>
        <v>102.4</v>
      </c>
      <c r="J93" s="68">
        <f>SUM(J85:J92)</f>
        <v>809.56500000000005</v>
      </c>
      <c r="K93" s="25"/>
      <c r="L93" s="19">
        <f>SUM(L85:L92)</f>
        <v>125.03999999999998</v>
      </c>
    </row>
    <row r="94" spans="1:12" ht="15.75" customHeight="1" thickBot="1" x14ac:dyDescent="0.25">
      <c r="A94" s="29">
        <f>A79</f>
        <v>1</v>
      </c>
      <c r="B94" s="30">
        <f>B79</f>
        <v>5</v>
      </c>
      <c r="C94" s="114" t="s">
        <v>4</v>
      </c>
      <c r="D94" s="115"/>
      <c r="E94" s="31"/>
      <c r="F94" s="69">
        <f>F84+F93</f>
        <v>1280</v>
      </c>
      <c r="G94" s="69">
        <f>G84+G93</f>
        <v>53.019999999999996</v>
      </c>
      <c r="H94" s="69">
        <f>H84+H93</f>
        <v>53.035000000000004</v>
      </c>
      <c r="I94" s="69">
        <f>I84+I93</f>
        <v>188.01</v>
      </c>
      <c r="J94" s="69">
        <f>J84+J93</f>
        <v>1449.0650000000001</v>
      </c>
      <c r="K94" s="32"/>
      <c r="L94" s="32">
        <f>L84+L93</f>
        <v>250.07999999999998</v>
      </c>
    </row>
    <row r="95" spans="1:12" ht="15.75" x14ac:dyDescent="0.25">
      <c r="A95" s="20">
        <v>2</v>
      </c>
      <c r="B95" s="21">
        <v>1</v>
      </c>
      <c r="C95" s="22" t="s">
        <v>20</v>
      </c>
      <c r="D95" s="5" t="s">
        <v>21</v>
      </c>
      <c r="E95" s="56" t="s">
        <v>132</v>
      </c>
      <c r="F95" s="80">
        <v>250</v>
      </c>
      <c r="G95" s="52">
        <v>6.88</v>
      </c>
      <c r="H95" s="52">
        <v>12.38</v>
      </c>
      <c r="I95" s="52">
        <v>49.08</v>
      </c>
      <c r="J95" s="52">
        <v>335</v>
      </c>
      <c r="K95" s="108">
        <v>44443</v>
      </c>
      <c r="L95" s="78">
        <v>34.5</v>
      </c>
    </row>
    <row r="96" spans="1:12" ht="15.75" x14ac:dyDescent="0.25">
      <c r="A96" s="23"/>
      <c r="B96" s="15"/>
      <c r="C96" s="11"/>
      <c r="D96" s="105" t="s">
        <v>56</v>
      </c>
      <c r="E96" s="51" t="s">
        <v>92</v>
      </c>
      <c r="F96" s="52">
        <v>130</v>
      </c>
      <c r="G96" s="52">
        <v>0.52</v>
      </c>
      <c r="H96" s="52">
        <v>0.52</v>
      </c>
      <c r="I96" s="52">
        <v>14.4</v>
      </c>
      <c r="J96" s="52">
        <v>99</v>
      </c>
      <c r="K96" s="42" t="s">
        <v>56</v>
      </c>
      <c r="L96" s="70">
        <v>30.55</v>
      </c>
    </row>
    <row r="97" spans="1:12" ht="15.75" x14ac:dyDescent="0.25">
      <c r="A97" s="23"/>
      <c r="B97" s="15"/>
      <c r="C97" s="11"/>
      <c r="D97" s="64" t="s">
        <v>29</v>
      </c>
      <c r="E97" s="52" t="s">
        <v>38</v>
      </c>
      <c r="F97" s="52">
        <v>200</v>
      </c>
      <c r="G97" s="52">
        <v>3.1</v>
      </c>
      <c r="H97" s="52">
        <v>3.2</v>
      </c>
      <c r="I97" s="52">
        <v>21</v>
      </c>
      <c r="J97" s="52">
        <v>153.24</v>
      </c>
      <c r="K97" s="42" t="s">
        <v>117</v>
      </c>
      <c r="L97" s="70">
        <v>22.08</v>
      </c>
    </row>
    <row r="98" spans="1:12" ht="15.75" x14ac:dyDescent="0.25">
      <c r="A98" s="23"/>
      <c r="B98" s="15"/>
      <c r="C98" s="11"/>
      <c r="D98" s="7" t="s">
        <v>23</v>
      </c>
      <c r="E98" s="51" t="s">
        <v>39</v>
      </c>
      <c r="F98" s="52">
        <v>30</v>
      </c>
      <c r="G98" s="52">
        <v>0.52</v>
      </c>
      <c r="H98" s="52">
        <v>0.33</v>
      </c>
      <c r="I98" s="52">
        <v>14.82</v>
      </c>
      <c r="J98" s="52">
        <v>68.97</v>
      </c>
      <c r="K98" s="42" t="s">
        <v>56</v>
      </c>
      <c r="L98" s="70">
        <v>2.63</v>
      </c>
    </row>
    <row r="99" spans="1:12" ht="15.75" x14ac:dyDescent="0.25">
      <c r="A99" s="23"/>
      <c r="B99" s="15"/>
      <c r="C99" s="11"/>
      <c r="D99" s="110" t="s">
        <v>25</v>
      </c>
      <c r="E99" s="51" t="s">
        <v>55</v>
      </c>
      <c r="F99" s="52">
        <v>60</v>
      </c>
      <c r="G99" s="52">
        <v>1.68</v>
      </c>
      <c r="H99" s="52">
        <v>0.52</v>
      </c>
      <c r="I99" s="52">
        <v>14.24</v>
      </c>
      <c r="J99" s="52">
        <v>63.7</v>
      </c>
      <c r="K99" s="42">
        <v>44240</v>
      </c>
      <c r="L99" s="70">
        <v>35.28</v>
      </c>
    </row>
    <row r="100" spans="1:12" ht="15.75" x14ac:dyDescent="0.25">
      <c r="A100" s="23"/>
      <c r="B100" s="15"/>
      <c r="C100" s="11"/>
      <c r="D100" s="6"/>
      <c r="E100" s="57"/>
      <c r="F100" s="52"/>
      <c r="G100" s="52"/>
      <c r="H100" s="52"/>
      <c r="I100" s="52"/>
      <c r="J100" s="52"/>
      <c r="K100" s="42"/>
      <c r="L100" s="70"/>
    </row>
    <row r="101" spans="1:12" ht="15" x14ac:dyDescent="0.25">
      <c r="A101" s="23"/>
      <c r="B101" s="15"/>
      <c r="C101" s="11"/>
      <c r="D101" s="6"/>
      <c r="E101" s="40"/>
      <c r="F101" s="70"/>
      <c r="G101" s="70"/>
      <c r="H101" s="70"/>
      <c r="I101" s="70"/>
      <c r="J101" s="70"/>
      <c r="K101" s="42"/>
      <c r="L101" s="70"/>
    </row>
    <row r="102" spans="1:12" ht="15" x14ac:dyDescent="0.25">
      <c r="A102" s="24"/>
      <c r="B102" s="17"/>
      <c r="C102" s="8"/>
      <c r="D102" s="18" t="s">
        <v>32</v>
      </c>
      <c r="E102" s="9"/>
      <c r="F102" s="68">
        <f>SUM(F95:F101)</f>
        <v>670</v>
      </c>
      <c r="G102" s="68">
        <f t="shared" ref="G102:J102" si="35">SUM(G95:G101)</f>
        <v>12.7</v>
      </c>
      <c r="H102" s="68">
        <f t="shared" si="35"/>
        <v>16.95</v>
      </c>
      <c r="I102" s="68">
        <f t="shared" si="35"/>
        <v>113.53999999999998</v>
      </c>
      <c r="J102" s="68">
        <f t="shared" si="35"/>
        <v>719.91000000000008</v>
      </c>
      <c r="K102" s="25"/>
      <c r="L102" s="68">
        <f t="shared" ref="L102" si="36">SUM(L95:L101)</f>
        <v>125.03999999999999</v>
      </c>
    </row>
    <row r="103" spans="1:12" ht="15.75" x14ac:dyDescent="0.25">
      <c r="A103" s="26">
        <f>A95</f>
        <v>2</v>
      </c>
      <c r="B103" s="13">
        <f>B95</f>
        <v>1</v>
      </c>
      <c r="C103" s="10" t="s">
        <v>24</v>
      </c>
      <c r="D103" s="7" t="s">
        <v>25</v>
      </c>
      <c r="E103" s="57" t="s">
        <v>93</v>
      </c>
      <c r="F103" s="58">
        <v>60</v>
      </c>
      <c r="G103" s="58">
        <v>0.6</v>
      </c>
      <c r="H103" s="58">
        <v>6</v>
      </c>
      <c r="I103" s="58">
        <v>4.76</v>
      </c>
      <c r="J103" s="58">
        <v>75.44</v>
      </c>
      <c r="K103" s="66" t="s">
        <v>114</v>
      </c>
      <c r="L103" s="58">
        <v>15.22</v>
      </c>
    </row>
    <row r="104" spans="1:12" ht="15.75" x14ac:dyDescent="0.25">
      <c r="A104" s="23"/>
      <c r="B104" s="15"/>
      <c r="C104" s="11"/>
      <c r="D104" s="7" t="s">
        <v>26</v>
      </c>
      <c r="E104" s="81" t="s">
        <v>133</v>
      </c>
      <c r="F104" s="58">
        <v>200</v>
      </c>
      <c r="G104" s="58">
        <v>3.6</v>
      </c>
      <c r="H104" s="58">
        <v>4.0999999999999996</v>
      </c>
      <c r="I104" s="58">
        <v>24.7</v>
      </c>
      <c r="J104" s="58">
        <v>151</v>
      </c>
      <c r="K104" s="82" t="s">
        <v>65</v>
      </c>
      <c r="L104" s="58">
        <v>29.24</v>
      </c>
    </row>
    <row r="105" spans="1:12" ht="15.75" x14ac:dyDescent="0.25">
      <c r="A105" s="23"/>
      <c r="B105" s="15"/>
      <c r="C105" s="11"/>
      <c r="D105" s="7" t="s">
        <v>27</v>
      </c>
      <c r="E105" s="59" t="s">
        <v>94</v>
      </c>
      <c r="F105" s="58">
        <v>90</v>
      </c>
      <c r="G105" s="58">
        <v>13.32</v>
      </c>
      <c r="H105" s="58">
        <v>11.16</v>
      </c>
      <c r="I105" s="58">
        <v>8.19</v>
      </c>
      <c r="J105" s="58">
        <v>186.3</v>
      </c>
      <c r="K105" s="66" t="s">
        <v>118</v>
      </c>
      <c r="L105" s="58">
        <v>51.41</v>
      </c>
    </row>
    <row r="106" spans="1:12" ht="15.75" x14ac:dyDescent="0.25">
      <c r="A106" s="23"/>
      <c r="B106" s="15"/>
      <c r="C106" s="11"/>
      <c r="D106" s="7" t="s">
        <v>28</v>
      </c>
      <c r="E106" s="59" t="s">
        <v>134</v>
      </c>
      <c r="F106" s="58">
        <v>150</v>
      </c>
      <c r="G106" s="58">
        <v>4</v>
      </c>
      <c r="H106" s="58">
        <v>2.9</v>
      </c>
      <c r="I106" s="58">
        <v>22.4</v>
      </c>
      <c r="J106" s="58">
        <v>132</v>
      </c>
      <c r="K106" s="66" t="s">
        <v>135</v>
      </c>
      <c r="L106" s="58">
        <v>10.89</v>
      </c>
    </row>
    <row r="107" spans="1:12" ht="15.75" x14ac:dyDescent="0.25">
      <c r="A107" s="23"/>
      <c r="B107" s="15"/>
      <c r="C107" s="11"/>
      <c r="D107" s="7" t="s">
        <v>29</v>
      </c>
      <c r="E107" s="59" t="s">
        <v>58</v>
      </c>
      <c r="F107" s="58">
        <v>200</v>
      </c>
      <c r="G107" s="58">
        <v>1</v>
      </c>
      <c r="H107" s="58">
        <v>0</v>
      </c>
      <c r="I107" s="58">
        <v>27.4</v>
      </c>
      <c r="J107" s="58">
        <v>113.6</v>
      </c>
      <c r="K107" s="66" t="s">
        <v>119</v>
      </c>
      <c r="L107" s="58">
        <v>12.54</v>
      </c>
    </row>
    <row r="108" spans="1:12" ht="15.75" x14ac:dyDescent="0.25">
      <c r="A108" s="23"/>
      <c r="B108" s="15"/>
      <c r="C108" s="11"/>
      <c r="D108" s="7" t="s">
        <v>30</v>
      </c>
      <c r="E108" s="54" t="s">
        <v>43</v>
      </c>
      <c r="F108" s="58">
        <v>30</v>
      </c>
      <c r="G108" s="58">
        <v>2.37</v>
      </c>
      <c r="H108" s="58">
        <f>SUM(F108*0.3/30)</f>
        <v>0.3</v>
      </c>
      <c r="I108" s="58">
        <v>14.49</v>
      </c>
      <c r="J108" s="58">
        <v>70.14</v>
      </c>
      <c r="K108" s="74" t="s">
        <v>56</v>
      </c>
      <c r="L108" s="58">
        <v>3.11</v>
      </c>
    </row>
    <row r="109" spans="1:12" ht="15.75" x14ac:dyDescent="0.25">
      <c r="A109" s="23"/>
      <c r="B109" s="15"/>
      <c r="C109" s="11"/>
      <c r="D109" s="7" t="s">
        <v>31</v>
      </c>
      <c r="E109" s="51" t="s">
        <v>39</v>
      </c>
      <c r="F109" s="58">
        <v>30</v>
      </c>
      <c r="G109" s="58">
        <v>1.68</v>
      </c>
      <c r="H109" s="58">
        <f>SUM(F109*0.33/30)</f>
        <v>0.33</v>
      </c>
      <c r="I109" s="58">
        <v>14.82</v>
      </c>
      <c r="J109" s="58">
        <v>68.97</v>
      </c>
      <c r="K109" s="74" t="s">
        <v>57</v>
      </c>
      <c r="L109" s="58">
        <v>2.63</v>
      </c>
    </row>
    <row r="110" spans="1:12" ht="15.75" x14ac:dyDescent="0.25">
      <c r="A110" s="23"/>
      <c r="B110" s="15"/>
      <c r="C110" s="11"/>
      <c r="D110" s="6"/>
      <c r="E110" s="59"/>
      <c r="F110" s="58"/>
      <c r="G110" s="58"/>
      <c r="H110" s="58"/>
      <c r="I110" s="58"/>
      <c r="J110" s="58"/>
      <c r="K110" s="72"/>
      <c r="L110" s="58"/>
    </row>
    <row r="111" spans="1:12" ht="15" x14ac:dyDescent="0.25">
      <c r="A111" s="23"/>
      <c r="B111" s="15"/>
      <c r="C111" s="11"/>
      <c r="D111" s="6"/>
      <c r="E111" s="40"/>
      <c r="F111" s="70"/>
      <c r="G111" s="70"/>
      <c r="H111" s="70"/>
      <c r="I111" s="70"/>
      <c r="J111" s="70"/>
      <c r="K111" s="42"/>
      <c r="L111" s="70"/>
    </row>
    <row r="112" spans="1:12" ht="15" x14ac:dyDescent="0.25">
      <c r="A112" s="24"/>
      <c r="B112" s="17"/>
      <c r="C112" s="8"/>
      <c r="D112" s="18" t="s">
        <v>32</v>
      </c>
      <c r="E112" s="9"/>
      <c r="F112" s="68">
        <f>SUM(F103:F111)</f>
        <v>760</v>
      </c>
      <c r="G112" s="68">
        <f t="shared" ref="G112:J112" si="37">SUM(G103:G111)</f>
        <v>26.57</v>
      </c>
      <c r="H112" s="68">
        <f t="shared" si="37"/>
        <v>24.789999999999996</v>
      </c>
      <c r="I112" s="68">
        <f t="shared" si="37"/>
        <v>116.75999999999999</v>
      </c>
      <c r="J112" s="68">
        <f t="shared" si="37"/>
        <v>797.45</v>
      </c>
      <c r="K112" s="25"/>
      <c r="L112" s="68">
        <f t="shared" ref="L112" si="38">SUM(L103:L111)</f>
        <v>125.04</v>
      </c>
    </row>
    <row r="113" spans="1:12" ht="15.75" thickBot="1" x14ac:dyDescent="0.25">
      <c r="A113" s="29">
        <f>A95</f>
        <v>2</v>
      </c>
      <c r="B113" s="30">
        <f>B95</f>
        <v>1</v>
      </c>
      <c r="C113" s="114" t="s">
        <v>4</v>
      </c>
      <c r="D113" s="115"/>
      <c r="E113" s="31"/>
      <c r="F113" s="69">
        <f>F102+F112</f>
        <v>1430</v>
      </c>
      <c r="G113" s="69">
        <f t="shared" ref="G113" si="39">G102+G112</f>
        <v>39.269999999999996</v>
      </c>
      <c r="H113" s="69">
        <f t="shared" ref="H113" si="40">H102+H112</f>
        <v>41.739999999999995</v>
      </c>
      <c r="I113" s="69">
        <f t="shared" ref="I113" si="41">I102+I112</f>
        <v>230.29999999999995</v>
      </c>
      <c r="J113" s="69">
        <f t="shared" ref="J113:L113" si="42">J102+J112</f>
        <v>1517.3600000000001</v>
      </c>
      <c r="K113" s="32"/>
      <c r="L113" s="69">
        <f t="shared" si="42"/>
        <v>250.07999999999998</v>
      </c>
    </row>
    <row r="114" spans="1:12" ht="15.75" x14ac:dyDescent="0.25">
      <c r="A114" s="14">
        <v>2</v>
      </c>
      <c r="B114" s="15">
        <v>2</v>
      </c>
      <c r="C114" s="22" t="s">
        <v>20</v>
      </c>
      <c r="D114" s="5" t="s">
        <v>21</v>
      </c>
      <c r="E114" s="56" t="s">
        <v>76</v>
      </c>
      <c r="F114" s="52">
        <v>214</v>
      </c>
      <c r="G114" s="52">
        <v>37.659999999999997</v>
      </c>
      <c r="H114" s="52">
        <v>22.47</v>
      </c>
      <c r="I114" s="52">
        <v>40.229999999999997</v>
      </c>
      <c r="J114" s="52">
        <v>511.46</v>
      </c>
      <c r="K114" s="39">
        <v>4443</v>
      </c>
      <c r="L114" s="78">
        <v>90.71</v>
      </c>
    </row>
    <row r="115" spans="1:12" ht="15.75" x14ac:dyDescent="0.25">
      <c r="A115" s="14"/>
      <c r="B115" s="15"/>
      <c r="C115" s="11"/>
      <c r="D115" s="7" t="s">
        <v>29</v>
      </c>
      <c r="E115" s="56" t="s">
        <v>45</v>
      </c>
      <c r="F115" s="56">
        <v>200</v>
      </c>
      <c r="G115" s="52">
        <v>0.1</v>
      </c>
      <c r="H115" s="52">
        <v>0</v>
      </c>
      <c r="I115" s="52">
        <v>9.9</v>
      </c>
      <c r="J115" s="52">
        <v>40</v>
      </c>
      <c r="K115" s="65" t="s">
        <v>63</v>
      </c>
      <c r="L115" s="70">
        <v>5.24</v>
      </c>
    </row>
    <row r="116" spans="1:12" ht="15.75" x14ac:dyDescent="0.25">
      <c r="A116" s="14"/>
      <c r="B116" s="15"/>
      <c r="C116" s="11"/>
      <c r="D116" s="105" t="s">
        <v>25</v>
      </c>
      <c r="E116" s="54" t="s">
        <v>95</v>
      </c>
      <c r="F116" s="52">
        <v>60</v>
      </c>
      <c r="G116" s="52">
        <v>3.84</v>
      </c>
      <c r="H116" s="52">
        <v>9.24</v>
      </c>
      <c r="I116" s="52">
        <v>23.4</v>
      </c>
      <c r="J116" s="52">
        <v>192</v>
      </c>
      <c r="K116" s="42">
        <v>44209</v>
      </c>
      <c r="L116" s="70">
        <v>24.71</v>
      </c>
    </row>
    <row r="117" spans="1:12" ht="15.75" x14ac:dyDescent="0.25">
      <c r="A117" s="14"/>
      <c r="B117" s="15"/>
      <c r="C117" s="11"/>
      <c r="D117" s="109" t="s">
        <v>31</v>
      </c>
      <c r="E117" s="51" t="s">
        <v>39</v>
      </c>
      <c r="F117" s="52">
        <v>50</v>
      </c>
      <c r="G117" s="52">
        <f>SUM(F117*1.68/30)</f>
        <v>2.8</v>
      </c>
      <c r="H117" s="52">
        <v>0.55000000000000004</v>
      </c>
      <c r="I117" s="52">
        <v>24.7</v>
      </c>
      <c r="J117" s="52">
        <v>114.95</v>
      </c>
      <c r="K117" s="42" t="s">
        <v>56</v>
      </c>
      <c r="L117" s="70">
        <v>4.38</v>
      </c>
    </row>
    <row r="118" spans="1:12" ht="15" x14ac:dyDescent="0.25">
      <c r="A118" s="14"/>
      <c r="B118" s="15"/>
      <c r="C118" s="11"/>
      <c r="D118" s="6"/>
      <c r="E118" s="40"/>
      <c r="F118" s="70"/>
      <c r="G118" s="70"/>
      <c r="H118" s="70"/>
      <c r="I118" s="70"/>
      <c r="J118" s="70"/>
      <c r="K118" s="42"/>
      <c r="L118" s="70"/>
    </row>
    <row r="119" spans="1:12" ht="15" x14ac:dyDescent="0.25">
      <c r="A119" s="16"/>
      <c r="B119" s="17"/>
      <c r="C119" s="8"/>
      <c r="D119" s="18" t="s">
        <v>32</v>
      </c>
      <c r="E119" s="9"/>
      <c r="F119" s="68">
        <f>SUM(F114:F118)</f>
        <v>524</v>
      </c>
      <c r="G119" s="68">
        <f>SUM(G114:G118)</f>
        <v>44.399999999999991</v>
      </c>
      <c r="H119" s="68">
        <f>SUM(H114:H118)</f>
        <v>32.26</v>
      </c>
      <c r="I119" s="68">
        <f>SUM(I114:I118)</f>
        <v>98.23</v>
      </c>
      <c r="J119" s="68">
        <f>SUM(J114:J118)</f>
        <v>858.41000000000008</v>
      </c>
      <c r="K119" s="25"/>
      <c r="L119" s="68">
        <f>SUM(L114:L118)</f>
        <v>125.03999999999999</v>
      </c>
    </row>
    <row r="120" spans="1:12" ht="15.75" x14ac:dyDescent="0.25">
      <c r="A120" s="13">
        <f>A114</f>
        <v>2</v>
      </c>
      <c r="B120" s="13">
        <f>B114</f>
        <v>2</v>
      </c>
      <c r="C120" s="10" t="s">
        <v>24</v>
      </c>
      <c r="D120" s="7" t="s">
        <v>25</v>
      </c>
      <c r="E120" s="83" t="s">
        <v>96</v>
      </c>
      <c r="F120" s="52">
        <v>60</v>
      </c>
      <c r="G120" s="52">
        <v>1.5</v>
      </c>
      <c r="H120" s="52">
        <v>6</v>
      </c>
      <c r="I120" s="52">
        <v>4.25</v>
      </c>
      <c r="J120" s="52">
        <v>77</v>
      </c>
      <c r="K120" s="74">
        <v>44409</v>
      </c>
      <c r="L120" s="70">
        <v>14.45</v>
      </c>
    </row>
    <row r="121" spans="1:12" ht="15.75" x14ac:dyDescent="0.25">
      <c r="A121" s="14"/>
      <c r="B121" s="15"/>
      <c r="C121" s="11"/>
      <c r="D121" s="7" t="s">
        <v>26</v>
      </c>
      <c r="E121" s="60" t="s">
        <v>97</v>
      </c>
      <c r="F121" s="52">
        <v>200</v>
      </c>
      <c r="G121" s="52">
        <v>2.56</v>
      </c>
      <c r="H121" s="52">
        <v>2.96</v>
      </c>
      <c r="I121" s="52">
        <v>17.440000000000001</v>
      </c>
      <c r="J121" s="52">
        <v>106.4</v>
      </c>
      <c r="K121" s="66" t="s">
        <v>120</v>
      </c>
      <c r="L121" s="70">
        <v>18.649999999999999</v>
      </c>
    </row>
    <row r="122" spans="1:12" ht="15.75" x14ac:dyDescent="0.25">
      <c r="A122" s="14"/>
      <c r="B122" s="15"/>
      <c r="C122" s="11"/>
      <c r="D122" s="7" t="s">
        <v>27</v>
      </c>
      <c r="E122" s="60" t="s">
        <v>98</v>
      </c>
      <c r="F122" s="52">
        <v>90</v>
      </c>
      <c r="G122" s="52">
        <v>13.41</v>
      </c>
      <c r="H122" s="52">
        <v>14.13</v>
      </c>
      <c r="I122" s="52">
        <v>4.2300000000000004</v>
      </c>
      <c r="J122" s="52">
        <v>198.9</v>
      </c>
      <c r="K122" s="74" t="s">
        <v>121</v>
      </c>
      <c r="L122" s="70">
        <v>65.34</v>
      </c>
    </row>
    <row r="123" spans="1:12" ht="15.75" x14ac:dyDescent="0.25">
      <c r="A123" s="14"/>
      <c r="B123" s="15"/>
      <c r="C123" s="11"/>
      <c r="D123" s="7" t="s">
        <v>28</v>
      </c>
      <c r="E123" s="51" t="s">
        <v>143</v>
      </c>
      <c r="F123" s="50">
        <v>150</v>
      </c>
      <c r="G123" s="52">
        <v>5.3</v>
      </c>
      <c r="H123" s="52">
        <v>3</v>
      </c>
      <c r="I123" s="52">
        <v>32.4</v>
      </c>
      <c r="J123" s="52">
        <v>178</v>
      </c>
      <c r="K123" s="74" t="s">
        <v>61</v>
      </c>
      <c r="L123" s="70">
        <v>9.99</v>
      </c>
    </row>
    <row r="124" spans="1:12" ht="15.75" x14ac:dyDescent="0.25">
      <c r="A124" s="14"/>
      <c r="B124" s="15"/>
      <c r="C124" s="11"/>
      <c r="D124" s="7" t="s">
        <v>29</v>
      </c>
      <c r="E124" s="56" t="s">
        <v>99</v>
      </c>
      <c r="F124" s="52">
        <v>200</v>
      </c>
      <c r="G124" s="52">
        <v>0.4</v>
      </c>
      <c r="H124" s="52">
        <v>0.4</v>
      </c>
      <c r="I124" s="52">
        <v>18.7</v>
      </c>
      <c r="J124" s="52">
        <v>80</v>
      </c>
      <c r="K124" s="66">
        <v>44265</v>
      </c>
      <c r="L124" s="70">
        <v>12.84</v>
      </c>
    </row>
    <row r="125" spans="1:12" ht="15.75" x14ac:dyDescent="0.25">
      <c r="A125" s="14"/>
      <c r="B125" s="15"/>
      <c r="C125" s="11"/>
      <c r="D125" s="109" t="s">
        <v>30</v>
      </c>
      <c r="E125" s="54" t="s">
        <v>100</v>
      </c>
      <c r="F125" s="52">
        <v>20</v>
      </c>
      <c r="G125" s="52">
        <v>1.7</v>
      </c>
      <c r="H125" s="52">
        <f>SUM(F125*0.3/30)</f>
        <v>0.2</v>
      </c>
      <c r="I125" s="52">
        <v>10.7</v>
      </c>
      <c r="J125" s="52">
        <v>51.4</v>
      </c>
      <c r="K125" s="66" t="s">
        <v>122</v>
      </c>
      <c r="L125" s="70">
        <v>2.13</v>
      </c>
    </row>
    <row r="126" spans="1:12" ht="15.75" x14ac:dyDescent="0.25">
      <c r="A126" s="14"/>
      <c r="B126" s="15"/>
      <c r="C126" s="11"/>
      <c r="D126" s="7" t="s">
        <v>31</v>
      </c>
      <c r="E126" s="51" t="s">
        <v>39</v>
      </c>
      <c r="F126" s="52">
        <v>30</v>
      </c>
      <c r="G126" s="52">
        <v>1.68</v>
      </c>
      <c r="H126" s="52">
        <f>SUM(F126*0.33/30)</f>
        <v>0.33</v>
      </c>
      <c r="I126" s="52">
        <f>SUM(F126*14.82/30)</f>
        <v>14.82</v>
      </c>
      <c r="J126" s="52">
        <f>SUM(F126*68.97/30)</f>
        <v>68.97</v>
      </c>
      <c r="K126" s="74" t="s">
        <v>57</v>
      </c>
      <c r="L126" s="70">
        <v>1.64</v>
      </c>
    </row>
    <row r="127" spans="1:12" ht="15" x14ac:dyDescent="0.25">
      <c r="A127" s="14"/>
      <c r="B127" s="15"/>
      <c r="C127" s="11"/>
      <c r="D127" s="6"/>
      <c r="E127" s="40"/>
      <c r="F127" s="70"/>
      <c r="G127" s="70"/>
      <c r="H127" s="70"/>
      <c r="I127" s="70"/>
      <c r="J127" s="70"/>
      <c r="K127" s="42"/>
      <c r="L127" s="70"/>
    </row>
    <row r="128" spans="1:12" ht="15" x14ac:dyDescent="0.25">
      <c r="A128" s="14"/>
      <c r="B128" s="15"/>
      <c r="C128" s="11"/>
      <c r="D128" s="6"/>
      <c r="E128" s="40"/>
      <c r="F128" s="70"/>
      <c r="G128" s="70"/>
      <c r="H128" s="70"/>
      <c r="I128" s="70"/>
      <c r="J128" s="70"/>
      <c r="K128" s="42"/>
      <c r="L128" s="70"/>
    </row>
    <row r="129" spans="1:12" ht="15" x14ac:dyDescent="0.25">
      <c r="A129" s="16"/>
      <c r="B129" s="17"/>
      <c r="C129" s="8"/>
      <c r="D129" s="18" t="s">
        <v>32</v>
      </c>
      <c r="E129" s="9"/>
      <c r="F129" s="68">
        <f>SUM(F120:F128)</f>
        <v>750</v>
      </c>
      <c r="G129" s="68">
        <f t="shared" ref="G129:J129" si="43">SUM(G120:G128)</f>
        <v>26.549999999999997</v>
      </c>
      <c r="H129" s="68">
        <f t="shared" si="43"/>
        <v>27.02</v>
      </c>
      <c r="I129" s="68">
        <f t="shared" si="43"/>
        <v>102.53999999999999</v>
      </c>
      <c r="J129" s="68">
        <f t="shared" si="43"/>
        <v>760.67</v>
      </c>
      <c r="K129" s="84"/>
      <c r="L129" s="68">
        <f t="shared" ref="L129" si="44">SUM(L120:L128)</f>
        <v>125.03999999999999</v>
      </c>
    </row>
    <row r="130" spans="1:12" ht="15.75" thickBot="1" x14ac:dyDescent="0.25">
      <c r="A130" s="33">
        <f>A114</f>
        <v>2</v>
      </c>
      <c r="B130" s="33">
        <f>B114</f>
        <v>2</v>
      </c>
      <c r="C130" s="114" t="s">
        <v>4</v>
      </c>
      <c r="D130" s="115"/>
      <c r="E130" s="31"/>
      <c r="F130" s="69">
        <f>F119+F129</f>
        <v>1274</v>
      </c>
      <c r="G130" s="69">
        <f t="shared" ref="G130" si="45">G119+G129</f>
        <v>70.949999999999989</v>
      </c>
      <c r="H130" s="69">
        <f t="shared" ref="H130" si="46">H119+H129</f>
        <v>59.28</v>
      </c>
      <c r="I130" s="69">
        <f t="shared" ref="I130" si="47">I119+I129</f>
        <v>200.76999999999998</v>
      </c>
      <c r="J130" s="69">
        <f t="shared" ref="J130:L130" si="48">J119+J129</f>
        <v>1619.08</v>
      </c>
      <c r="K130" s="32"/>
      <c r="L130" s="69">
        <f t="shared" si="48"/>
        <v>250.07999999999998</v>
      </c>
    </row>
    <row r="131" spans="1:12" ht="15.75" x14ac:dyDescent="0.25">
      <c r="A131" s="20">
        <v>2</v>
      </c>
      <c r="B131" s="21">
        <v>3</v>
      </c>
      <c r="C131" s="22" t="s">
        <v>20</v>
      </c>
      <c r="D131" s="5" t="s">
        <v>27</v>
      </c>
      <c r="E131" s="60" t="s">
        <v>101</v>
      </c>
      <c r="F131" s="58">
        <v>90</v>
      </c>
      <c r="G131" s="58">
        <f>F131*14/100</f>
        <v>12.6</v>
      </c>
      <c r="H131" s="58">
        <f>F131*15/100</f>
        <v>13.5</v>
      </c>
      <c r="I131" s="58">
        <f>F131*8.7/100</f>
        <v>7.8299999999999992</v>
      </c>
      <c r="J131" s="58">
        <f>F131*246/100</f>
        <v>221.4</v>
      </c>
      <c r="K131" s="66" t="s">
        <v>123</v>
      </c>
      <c r="L131" s="78">
        <v>58.23</v>
      </c>
    </row>
    <row r="132" spans="1:12" ht="15.75" x14ac:dyDescent="0.25">
      <c r="A132" s="23"/>
      <c r="B132" s="15"/>
      <c r="C132" s="11"/>
      <c r="D132" s="53" t="s">
        <v>28</v>
      </c>
      <c r="E132" s="59" t="s">
        <v>89</v>
      </c>
      <c r="F132" s="52">
        <v>150</v>
      </c>
      <c r="G132" s="52">
        <f>F132*3.15/150</f>
        <v>3.15</v>
      </c>
      <c r="H132" s="52">
        <f>F132*3.67/150</f>
        <v>3.67</v>
      </c>
      <c r="I132" s="52">
        <f>F132*20.4/150</f>
        <v>20.399999999999999</v>
      </c>
      <c r="J132" s="58">
        <f>F132*127.5/150</f>
        <v>127.5</v>
      </c>
      <c r="K132" s="66" t="s">
        <v>136</v>
      </c>
      <c r="L132" s="70">
        <v>21.08</v>
      </c>
    </row>
    <row r="133" spans="1:12" ht="15.75" x14ac:dyDescent="0.25">
      <c r="A133" s="23"/>
      <c r="B133" s="15"/>
      <c r="C133" s="11"/>
      <c r="D133" s="7" t="s">
        <v>29</v>
      </c>
      <c r="E133" s="52" t="s">
        <v>48</v>
      </c>
      <c r="F133" s="58">
        <v>200</v>
      </c>
      <c r="G133" s="58">
        <v>3.6</v>
      </c>
      <c r="H133" s="58">
        <v>3.3</v>
      </c>
      <c r="I133" s="58">
        <v>22.8</v>
      </c>
      <c r="J133" s="58">
        <v>133</v>
      </c>
      <c r="K133" s="52" t="s">
        <v>124</v>
      </c>
      <c r="L133" s="70">
        <v>7.82</v>
      </c>
    </row>
    <row r="134" spans="1:12" ht="15.75" customHeight="1" x14ac:dyDescent="0.25">
      <c r="A134" s="23"/>
      <c r="B134" s="15"/>
      <c r="C134" s="11"/>
      <c r="D134" s="105" t="s">
        <v>25</v>
      </c>
      <c r="E134" s="54" t="s">
        <v>55</v>
      </c>
      <c r="F134" s="58">
        <v>60</v>
      </c>
      <c r="G134" s="58">
        <f>SUM(F134*2.37/30)</f>
        <v>4.74</v>
      </c>
      <c r="H134" s="58">
        <f>SUM(F134*0.3/30)</f>
        <v>0.6</v>
      </c>
      <c r="I134" s="58">
        <f>SUM(F134*14.49/30)</f>
        <v>28.98</v>
      </c>
      <c r="J134" s="58">
        <f>SUM(F134*70.14/30)</f>
        <v>140.28</v>
      </c>
      <c r="K134" s="74">
        <v>44240</v>
      </c>
      <c r="L134" s="70">
        <v>35.28</v>
      </c>
    </row>
    <row r="135" spans="1:12" ht="15.75" x14ac:dyDescent="0.25">
      <c r="A135" s="23"/>
      <c r="B135" s="15"/>
      <c r="C135" s="11"/>
      <c r="D135" s="64" t="s">
        <v>23</v>
      </c>
      <c r="E135" s="51" t="s">
        <v>39</v>
      </c>
      <c r="F135" s="58">
        <v>30</v>
      </c>
      <c r="G135" s="58">
        <f>SUM(F135*1.68/30)</f>
        <v>1.68</v>
      </c>
      <c r="H135" s="58">
        <f>SUM(F135*0.33/30)</f>
        <v>0.33</v>
      </c>
      <c r="I135" s="58">
        <f>SUM(F135*14.82/30)</f>
        <v>14.82</v>
      </c>
      <c r="J135" s="58">
        <f>SUM(F135*68.97/30)</f>
        <v>68.97</v>
      </c>
      <c r="K135" s="74" t="s">
        <v>57</v>
      </c>
      <c r="L135" s="70">
        <v>2.63</v>
      </c>
    </row>
    <row r="136" spans="1:12" ht="15" x14ac:dyDescent="0.25">
      <c r="A136" s="23"/>
      <c r="B136" s="15"/>
      <c r="C136" s="11"/>
      <c r="D136" s="6"/>
      <c r="E136" s="40"/>
      <c r="F136" s="70"/>
      <c r="G136" s="70"/>
      <c r="H136" s="70"/>
      <c r="I136" s="70"/>
      <c r="J136" s="70"/>
      <c r="K136" s="42"/>
      <c r="L136" s="70"/>
    </row>
    <row r="137" spans="1:12" ht="15" x14ac:dyDescent="0.25">
      <c r="A137" s="24"/>
      <c r="B137" s="17"/>
      <c r="C137" s="8"/>
      <c r="D137" s="18" t="s">
        <v>32</v>
      </c>
      <c r="E137" s="9"/>
      <c r="F137" s="68">
        <f>SUM(F131:F136)</f>
        <v>530</v>
      </c>
      <c r="G137" s="68">
        <f>SUM(G131:G136)</f>
        <v>25.770000000000003</v>
      </c>
      <c r="H137" s="68">
        <f>SUM(H131:H136)</f>
        <v>21.400000000000002</v>
      </c>
      <c r="I137" s="68">
        <f>SUM(I131:I136)</f>
        <v>94.830000000000013</v>
      </c>
      <c r="J137" s="68">
        <f>SUM(J131:J136)</f>
        <v>691.15</v>
      </c>
      <c r="K137" s="84"/>
      <c r="L137" s="68">
        <f>SUM(L131:L136)</f>
        <v>125.03999999999999</v>
      </c>
    </row>
    <row r="138" spans="1:12" ht="15.75" x14ac:dyDescent="0.25">
      <c r="A138" s="26">
        <f>A131</f>
        <v>2</v>
      </c>
      <c r="B138" s="13">
        <f>B131</f>
        <v>3</v>
      </c>
      <c r="C138" s="10" t="s">
        <v>24</v>
      </c>
      <c r="D138" s="7" t="s">
        <v>25</v>
      </c>
      <c r="E138" s="52" t="s">
        <v>137</v>
      </c>
      <c r="F138" s="52">
        <v>60</v>
      </c>
      <c r="G138" s="52">
        <f>F138*1.2/100</f>
        <v>0.72</v>
      </c>
      <c r="H138" s="52">
        <f>F138*6/100</f>
        <v>3.6</v>
      </c>
      <c r="I138" s="52">
        <f>F138*9.2/100</f>
        <v>5.52</v>
      </c>
      <c r="J138" s="52">
        <f>F138*96/100</f>
        <v>57.6</v>
      </c>
      <c r="K138" s="66" t="s">
        <v>114</v>
      </c>
      <c r="L138" s="70">
        <v>15.47</v>
      </c>
    </row>
    <row r="139" spans="1:12" ht="15.75" x14ac:dyDescent="0.25">
      <c r="A139" s="23"/>
      <c r="B139" s="15"/>
      <c r="C139" s="11"/>
      <c r="D139" s="7" t="s">
        <v>26</v>
      </c>
      <c r="E139" s="60" t="s">
        <v>149</v>
      </c>
      <c r="F139" s="52">
        <v>200</v>
      </c>
      <c r="G139" s="52">
        <f>F139*2.4/250+0.2</f>
        <v>2.12</v>
      </c>
      <c r="H139" s="52">
        <f>F139*4.8/250</f>
        <v>3.84</v>
      </c>
      <c r="I139" s="52">
        <f>F139*7.6/250+0.4</f>
        <v>6.48</v>
      </c>
      <c r="J139" s="52">
        <f>F139*83/250+3</f>
        <v>69.400000000000006</v>
      </c>
      <c r="K139" s="66" t="s">
        <v>125</v>
      </c>
      <c r="L139" s="70">
        <v>21.42</v>
      </c>
    </row>
    <row r="140" spans="1:12" ht="15.75" x14ac:dyDescent="0.25">
      <c r="A140" s="23"/>
      <c r="B140" s="15"/>
      <c r="C140" s="11"/>
      <c r="D140" s="7" t="s">
        <v>27</v>
      </c>
      <c r="E140" s="55" t="s">
        <v>52</v>
      </c>
      <c r="F140" s="50">
        <v>90</v>
      </c>
      <c r="G140" s="52">
        <f>F140*11.68/90</f>
        <v>11.68</v>
      </c>
      <c r="H140" s="52">
        <f>F140*11.61/90</f>
        <v>11.609999999999998</v>
      </c>
      <c r="I140" s="52">
        <f>F140*5.76/90</f>
        <v>5.76</v>
      </c>
      <c r="J140" s="52">
        <f>F140*175/90</f>
        <v>175</v>
      </c>
      <c r="K140" s="66" t="s">
        <v>126</v>
      </c>
      <c r="L140" s="70">
        <v>51.77</v>
      </c>
    </row>
    <row r="141" spans="1:12" ht="15.75" x14ac:dyDescent="0.25">
      <c r="A141" s="23"/>
      <c r="B141" s="15"/>
      <c r="C141" s="11"/>
      <c r="D141" s="7" t="s">
        <v>28</v>
      </c>
      <c r="E141" s="59" t="s">
        <v>144</v>
      </c>
      <c r="F141" s="52">
        <v>150</v>
      </c>
      <c r="G141" s="52">
        <f>F141*6.63/150</f>
        <v>6.63</v>
      </c>
      <c r="H141" s="52">
        <f>F141*4.44/150</f>
        <v>4.4400000000000004</v>
      </c>
      <c r="I141" s="52">
        <f>F141*28.8/150</f>
        <v>28.8</v>
      </c>
      <c r="J141" s="52">
        <f>F141*181.5/150</f>
        <v>181.5</v>
      </c>
      <c r="K141" s="52" t="s">
        <v>59</v>
      </c>
      <c r="L141" s="70">
        <v>10.36</v>
      </c>
    </row>
    <row r="142" spans="1:12" ht="15.75" x14ac:dyDescent="0.25">
      <c r="A142" s="23"/>
      <c r="B142" s="15"/>
      <c r="C142" s="11"/>
      <c r="D142" s="7" t="s">
        <v>29</v>
      </c>
      <c r="E142" s="59" t="s">
        <v>153</v>
      </c>
      <c r="F142" s="52">
        <v>200</v>
      </c>
      <c r="G142" s="52">
        <v>0</v>
      </c>
      <c r="H142" s="52">
        <v>0</v>
      </c>
      <c r="I142" s="52">
        <v>27.8</v>
      </c>
      <c r="J142" s="52">
        <v>111</v>
      </c>
      <c r="K142" s="66" t="s">
        <v>127</v>
      </c>
      <c r="L142" s="70">
        <v>17.82</v>
      </c>
    </row>
    <row r="143" spans="1:12" ht="15.75" x14ac:dyDescent="0.25">
      <c r="A143" s="23"/>
      <c r="B143" s="15"/>
      <c r="C143" s="11"/>
      <c r="D143" s="7" t="s">
        <v>30</v>
      </c>
      <c r="E143" s="54" t="s">
        <v>43</v>
      </c>
      <c r="F143" s="52">
        <v>50</v>
      </c>
      <c r="G143" s="52">
        <f>SUM(F143*2.37/30)</f>
        <v>3.95</v>
      </c>
      <c r="H143" s="52">
        <f>SUM(F143*0.3/30)</f>
        <v>0.5</v>
      </c>
      <c r="I143" s="52">
        <f>SUM(F143*14.49/30)</f>
        <v>24.15</v>
      </c>
      <c r="J143" s="52">
        <f>SUM(F143*70.14/30)</f>
        <v>116.9</v>
      </c>
      <c r="K143" s="74" t="s">
        <v>56</v>
      </c>
      <c r="L143" s="70">
        <v>4.4400000000000004</v>
      </c>
    </row>
    <row r="144" spans="1:12" ht="15.75" x14ac:dyDescent="0.25">
      <c r="A144" s="23"/>
      <c r="B144" s="15"/>
      <c r="C144" s="11"/>
      <c r="D144" s="7" t="s">
        <v>31</v>
      </c>
      <c r="E144" s="51" t="s">
        <v>39</v>
      </c>
      <c r="F144" s="52">
        <v>50</v>
      </c>
      <c r="G144" s="52">
        <f>SUM(F144*1.68/30)</f>
        <v>2.8</v>
      </c>
      <c r="H144" s="52">
        <f>SUM(F144*0.33/30)</f>
        <v>0.55000000000000004</v>
      </c>
      <c r="I144" s="52">
        <f>SUM(F144*14.82/30)</f>
        <v>24.7</v>
      </c>
      <c r="J144" s="52">
        <f>SUM(F144*68.97/30)</f>
        <v>114.95</v>
      </c>
      <c r="K144" s="74" t="s">
        <v>57</v>
      </c>
      <c r="L144" s="70">
        <v>3.76</v>
      </c>
    </row>
    <row r="145" spans="1:12" ht="15" x14ac:dyDescent="0.25">
      <c r="A145" s="23"/>
      <c r="B145" s="15"/>
      <c r="C145" s="11"/>
      <c r="D145" s="6"/>
      <c r="E145" s="40"/>
      <c r="F145" s="70"/>
      <c r="G145" s="70"/>
      <c r="H145" s="70"/>
      <c r="I145" s="70"/>
      <c r="J145" s="70"/>
      <c r="K145" s="42"/>
      <c r="L145" s="70"/>
    </row>
    <row r="146" spans="1:12" ht="15" x14ac:dyDescent="0.25">
      <c r="A146" s="23"/>
      <c r="B146" s="15"/>
      <c r="C146" s="11"/>
      <c r="D146" s="6"/>
      <c r="E146" s="40"/>
      <c r="F146" s="70"/>
      <c r="G146" s="70"/>
      <c r="H146" s="70"/>
      <c r="I146" s="70"/>
      <c r="J146" s="70"/>
      <c r="K146" s="42"/>
      <c r="L146" s="70"/>
    </row>
    <row r="147" spans="1:12" ht="15" x14ac:dyDescent="0.25">
      <c r="A147" s="24"/>
      <c r="B147" s="17"/>
      <c r="C147" s="8"/>
      <c r="D147" s="18" t="s">
        <v>32</v>
      </c>
      <c r="E147" s="9"/>
      <c r="F147" s="68">
        <f>SUM(F138:F146)</f>
        <v>800</v>
      </c>
      <c r="G147" s="68">
        <f t="shared" ref="G147:J147" si="49">SUM(G138:G146)</f>
        <v>27.9</v>
      </c>
      <c r="H147" s="68">
        <f t="shared" si="49"/>
        <v>24.54</v>
      </c>
      <c r="I147" s="68">
        <f t="shared" si="49"/>
        <v>123.21</v>
      </c>
      <c r="J147" s="68">
        <f t="shared" si="49"/>
        <v>826.35</v>
      </c>
      <c r="K147" s="25"/>
      <c r="L147" s="68">
        <f t="shared" ref="L147" si="50">SUM(L138:L146)</f>
        <v>125.04</v>
      </c>
    </row>
    <row r="148" spans="1:12" ht="15.75" thickBot="1" x14ac:dyDescent="0.25">
      <c r="A148" s="29">
        <f>A131</f>
        <v>2</v>
      </c>
      <c r="B148" s="30">
        <f>B131</f>
        <v>3</v>
      </c>
      <c r="C148" s="114" t="s">
        <v>4</v>
      </c>
      <c r="D148" s="115"/>
      <c r="E148" s="31"/>
      <c r="F148" s="69">
        <f>F137+F147</f>
        <v>1330</v>
      </c>
      <c r="G148" s="69">
        <f t="shared" ref="G148" si="51">G137+G147</f>
        <v>53.67</v>
      </c>
      <c r="H148" s="69">
        <f t="shared" ref="H148" si="52">H137+H147</f>
        <v>45.94</v>
      </c>
      <c r="I148" s="69">
        <f t="shared" ref="I148" si="53">I137+I147</f>
        <v>218.04000000000002</v>
      </c>
      <c r="J148" s="69">
        <f t="shared" ref="J148" si="54">J137+J147</f>
        <v>1517.5</v>
      </c>
      <c r="K148" s="32"/>
      <c r="L148" s="69">
        <f>L137+L147</f>
        <v>250.07999999999998</v>
      </c>
    </row>
    <row r="149" spans="1:12" ht="15.75" x14ac:dyDescent="0.25">
      <c r="A149" s="20">
        <v>2</v>
      </c>
      <c r="B149" s="21">
        <v>4</v>
      </c>
      <c r="C149" s="22" t="s">
        <v>20</v>
      </c>
      <c r="D149" s="5" t="s">
        <v>21</v>
      </c>
      <c r="E149" s="59" t="s">
        <v>145</v>
      </c>
      <c r="F149" s="58">
        <v>200</v>
      </c>
      <c r="G149" s="58">
        <v>20.149999999999999</v>
      </c>
      <c r="H149" s="58">
        <v>16.39</v>
      </c>
      <c r="I149" s="58">
        <v>45.98</v>
      </c>
      <c r="J149" s="58">
        <v>411.4</v>
      </c>
      <c r="K149" s="39">
        <v>44294</v>
      </c>
      <c r="L149" s="78">
        <v>74.59</v>
      </c>
    </row>
    <row r="150" spans="1:12" ht="15.75" x14ac:dyDescent="0.25">
      <c r="A150" s="23"/>
      <c r="B150" s="15"/>
      <c r="C150" s="11"/>
      <c r="D150" s="7" t="s">
        <v>29</v>
      </c>
      <c r="E150" s="56" t="s">
        <v>102</v>
      </c>
      <c r="F150" s="56">
        <v>200</v>
      </c>
      <c r="G150" s="52">
        <v>0.2</v>
      </c>
      <c r="H150" s="52">
        <v>0</v>
      </c>
      <c r="I150" s="52">
        <v>13.7</v>
      </c>
      <c r="J150" s="52">
        <v>56</v>
      </c>
      <c r="K150" s="42" t="s">
        <v>104</v>
      </c>
      <c r="L150" s="70">
        <v>21.76</v>
      </c>
    </row>
    <row r="151" spans="1:12" ht="15.75" x14ac:dyDescent="0.25">
      <c r="A151" s="23"/>
      <c r="B151" s="15"/>
      <c r="C151" s="11"/>
      <c r="D151" s="7" t="s">
        <v>23</v>
      </c>
      <c r="E151" s="54" t="s">
        <v>43</v>
      </c>
      <c r="F151" s="52">
        <v>50</v>
      </c>
      <c r="G151" s="52">
        <f>SUM(F151*2.37/30)</f>
        <v>3.95</v>
      </c>
      <c r="H151" s="52">
        <f>SUM(F151*0.3/30)</f>
        <v>0.5</v>
      </c>
      <c r="I151" s="52">
        <f>SUM(F151*14.49/30)</f>
        <v>24.15</v>
      </c>
      <c r="J151" s="52">
        <f>SUM(F151*70.14/30)</f>
        <v>116.9</v>
      </c>
      <c r="K151" s="42" t="s">
        <v>56</v>
      </c>
      <c r="L151" s="70">
        <v>4.4400000000000004</v>
      </c>
    </row>
    <row r="152" spans="1:12" ht="15.75" x14ac:dyDescent="0.25">
      <c r="A152" s="23"/>
      <c r="B152" s="15"/>
      <c r="C152" s="11"/>
      <c r="D152" s="105" t="s">
        <v>23</v>
      </c>
      <c r="E152" s="51" t="s">
        <v>103</v>
      </c>
      <c r="F152" s="52">
        <v>30</v>
      </c>
      <c r="G152" s="52">
        <f>SUM(F152*1.68/30)</f>
        <v>1.68</v>
      </c>
      <c r="H152" s="52">
        <f>SUM(F152*0.33/30)</f>
        <v>0.33</v>
      </c>
      <c r="I152" s="52">
        <f>SUM(F152*14.82/30)</f>
        <v>14.82</v>
      </c>
      <c r="J152" s="52">
        <f>SUM(F152*68.97/30)</f>
        <v>68.97</v>
      </c>
      <c r="K152" s="42" t="s">
        <v>56</v>
      </c>
      <c r="L152" s="70">
        <v>2.63</v>
      </c>
    </row>
    <row r="153" spans="1:12" ht="15.75" x14ac:dyDescent="0.25">
      <c r="A153" s="23"/>
      <c r="B153" s="15"/>
      <c r="C153" s="11"/>
      <c r="D153" s="106" t="s">
        <v>25</v>
      </c>
      <c r="E153" s="40" t="s">
        <v>105</v>
      </c>
      <c r="F153" s="70">
        <v>60</v>
      </c>
      <c r="G153" s="52">
        <f>SUM(F153*1.68/30)</f>
        <v>3.36</v>
      </c>
      <c r="H153" s="52">
        <f>SUM(F153*0.33/30)</f>
        <v>0.66</v>
      </c>
      <c r="I153" s="52">
        <f>SUM(F153*14.82/30)</f>
        <v>29.64</v>
      </c>
      <c r="J153" s="52">
        <f>SUM(F153*68.97/30)</f>
        <v>137.94</v>
      </c>
      <c r="K153" s="42">
        <v>2</v>
      </c>
      <c r="L153" s="70">
        <v>21.62</v>
      </c>
    </row>
    <row r="154" spans="1:12" ht="15" x14ac:dyDescent="0.25">
      <c r="A154" s="23"/>
      <c r="B154" s="15"/>
      <c r="C154" s="11"/>
      <c r="D154" s="6"/>
      <c r="E154" s="40"/>
      <c r="F154" s="70"/>
      <c r="G154" s="70"/>
      <c r="H154" s="70"/>
      <c r="I154" s="70"/>
      <c r="J154" s="70"/>
      <c r="K154" s="42"/>
      <c r="L154" s="70"/>
    </row>
    <row r="155" spans="1:12" ht="15" x14ac:dyDescent="0.25">
      <c r="A155" s="24"/>
      <c r="B155" s="17"/>
      <c r="C155" s="8"/>
      <c r="D155" s="18" t="s">
        <v>32</v>
      </c>
      <c r="E155" s="9"/>
      <c r="F155" s="68">
        <f>SUM(F149:F154)</f>
        <v>540</v>
      </c>
      <c r="G155" s="68">
        <f>SUM(G149:G154)</f>
        <v>29.339999999999996</v>
      </c>
      <c r="H155" s="68">
        <f>SUM(H149:H154)</f>
        <v>17.88</v>
      </c>
      <c r="I155" s="68">
        <f>SUM(I149:I154)</f>
        <v>128.28999999999996</v>
      </c>
      <c r="J155" s="68">
        <f>SUM(J149:J154)</f>
        <v>791.21</v>
      </c>
      <c r="K155" s="25"/>
      <c r="L155" s="68">
        <f>SUM(L149:L154)</f>
        <v>125.04</v>
      </c>
    </row>
    <row r="156" spans="1:12" ht="15.75" x14ac:dyDescent="0.25">
      <c r="A156" s="26">
        <f>A149</f>
        <v>2</v>
      </c>
      <c r="B156" s="13">
        <f>B149</f>
        <v>4</v>
      </c>
      <c r="C156" s="10" t="s">
        <v>24</v>
      </c>
      <c r="D156" s="7" t="s">
        <v>25</v>
      </c>
      <c r="E156" s="60" t="s">
        <v>106</v>
      </c>
      <c r="F156" s="52">
        <v>60</v>
      </c>
      <c r="G156" s="52">
        <f>F156*0.78/60</f>
        <v>0.78</v>
      </c>
      <c r="H156" s="52">
        <f>F156*3.6/60</f>
        <v>3.6</v>
      </c>
      <c r="I156" s="52">
        <f>F156*2.16/60</f>
        <v>2.1600000000000006</v>
      </c>
      <c r="J156" s="52">
        <f>F156*44.4/60</f>
        <v>44.4</v>
      </c>
      <c r="K156" s="66" t="s">
        <v>108</v>
      </c>
      <c r="L156" s="70">
        <v>10.63</v>
      </c>
    </row>
    <row r="157" spans="1:12" ht="15.75" x14ac:dyDescent="0.25">
      <c r="A157" s="23"/>
      <c r="B157" s="15"/>
      <c r="C157" s="11"/>
      <c r="D157" s="7" t="s">
        <v>26</v>
      </c>
      <c r="E157" s="60" t="s">
        <v>150</v>
      </c>
      <c r="F157" s="52">
        <v>200</v>
      </c>
      <c r="G157" s="52">
        <f>F157*2/200</f>
        <v>2</v>
      </c>
      <c r="H157" s="52">
        <f>F157*2.4/200</f>
        <v>2.4</v>
      </c>
      <c r="I157" s="52">
        <f>F157*24.7/200</f>
        <v>24.7</v>
      </c>
      <c r="J157" s="52">
        <f>F157*128.4/200</f>
        <v>128.4</v>
      </c>
      <c r="K157" s="66" t="s">
        <v>109</v>
      </c>
      <c r="L157" s="70">
        <v>18.71</v>
      </c>
    </row>
    <row r="158" spans="1:12" ht="15.75" x14ac:dyDescent="0.25">
      <c r="A158" s="23"/>
      <c r="B158" s="15"/>
      <c r="C158" s="11"/>
      <c r="D158" s="7" t="s">
        <v>27</v>
      </c>
      <c r="E158" s="56" t="s">
        <v>107</v>
      </c>
      <c r="F158" s="52">
        <v>110</v>
      </c>
      <c r="G158" s="52">
        <f>F158*13.32/90</f>
        <v>16.28</v>
      </c>
      <c r="H158" s="52">
        <f>F158*11.16/90</f>
        <v>13.639999999999999</v>
      </c>
      <c r="I158" s="52">
        <f>F158*8.19/90</f>
        <v>10.01</v>
      </c>
      <c r="J158" s="52">
        <f>F158*186.3/90</f>
        <v>227.7</v>
      </c>
      <c r="K158" s="66" t="s">
        <v>110</v>
      </c>
      <c r="L158" s="70">
        <v>57.48</v>
      </c>
    </row>
    <row r="159" spans="1:12" ht="15.75" x14ac:dyDescent="0.25">
      <c r="A159" s="23"/>
      <c r="B159" s="15"/>
      <c r="C159" s="11"/>
      <c r="D159" s="7" t="s">
        <v>28</v>
      </c>
      <c r="E159" s="59" t="s">
        <v>50</v>
      </c>
      <c r="F159" s="52">
        <v>150</v>
      </c>
      <c r="G159" s="52">
        <f>F159*4.2/150</f>
        <v>4.2</v>
      </c>
      <c r="H159" s="52">
        <f>F159*2.9/150</f>
        <v>2.9</v>
      </c>
      <c r="I159" s="52">
        <f>F159*22.42/150</f>
        <v>22.42</v>
      </c>
      <c r="J159" s="52">
        <f>F159*131.74/150</f>
        <v>131.74</v>
      </c>
      <c r="K159" s="66" t="s">
        <v>111</v>
      </c>
      <c r="L159" s="70">
        <v>28</v>
      </c>
    </row>
    <row r="160" spans="1:12" ht="15.75" x14ac:dyDescent="0.25">
      <c r="A160" s="23"/>
      <c r="B160" s="15"/>
      <c r="C160" s="11"/>
      <c r="D160" s="7" t="s">
        <v>29</v>
      </c>
      <c r="E160" s="52" t="s">
        <v>51</v>
      </c>
      <c r="F160" s="52">
        <v>200</v>
      </c>
      <c r="G160" s="52">
        <v>0.2</v>
      </c>
      <c r="H160" s="52">
        <v>0.2</v>
      </c>
      <c r="I160" s="52">
        <v>16.8</v>
      </c>
      <c r="J160" s="52">
        <v>70</v>
      </c>
      <c r="K160" s="66" t="s">
        <v>62</v>
      </c>
      <c r="L160" s="70">
        <v>5.54</v>
      </c>
    </row>
    <row r="161" spans="1:12" ht="15.75" x14ac:dyDescent="0.25">
      <c r="A161" s="23"/>
      <c r="B161" s="15"/>
      <c r="C161" s="11"/>
      <c r="D161" s="7" t="s">
        <v>30</v>
      </c>
      <c r="E161" s="54" t="s">
        <v>43</v>
      </c>
      <c r="F161" s="52">
        <v>50</v>
      </c>
      <c r="G161" s="52">
        <f>SUM(F161*2.37/30)</f>
        <v>3.95</v>
      </c>
      <c r="H161" s="52">
        <f>SUM(F161*0.3/30)</f>
        <v>0.5</v>
      </c>
      <c r="I161" s="52">
        <f>SUM(F161*14.49/30)</f>
        <v>24.15</v>
      </c>
      <c r="J161" s="52">
        <f>SUM(F161*70.14/30)</f>
        <v>116.9</v>
      </c>
      <c r="K161" s="74" t="s">
        <v>56</v>
      </c>
      <c r="L161" s="70">
        <v>2.5499999999999998</v>
      </c>
    </row>
    <row r="162" spans="1:12" ht="15.75" x14ac:dyDescent="0.25">
      <c r="A162" s="23"/>
      <c r="B162" s="15"/>
      <c r="C162" s="11"/>
      <c r="D162" s="7" t="s">
        <v>31</v>
      </c>
      <c r="E162" s="51" t="s">
        <v>39</v>
      </c>
      <c r="F162" s="52">
        <v>40</v>
      </c>
      <c r="G162" s="52">
        <f>SUM(F162*1.68/30)</f>
        <v>2.2400000000000002</v>
      </c>
      <c r="H162" s="52">
        <f>SUM(F162*0.33/30)</f>
        <v>0.44000000000000006</v>
      </c>
      <c r="I162" s="52">
        <f>SUM(F162*14.82/30)</f>
        <v>19.759999999999998</v>
      </c>
      <c r="J162" s="52">
        <f>SUM(F162*68.97/30)</f>
        <v>91.960000000000008</v>
      </c>
      <c r="K162" s="74" t="s">
        <v>57</v>
      </c>
      <c r="L162" s="70">
        <v>2.13</v>
      </c>
    </row>
    <row r="163" spans="1:12" ht="15" x14ac:dyDescent="0.25">
      <c r="A163" s="23"/>
      <c r="B163" s="15"/>
      <c r="C163" s="11"/>
      <c r="D163" s="6"/>
      <c r="E163" s="40"/>
      <c r="F163" s="70"/>
      <c r="G163" s="70"/>
      <c r="H163" s="70"/>
      <c r="I163" s="70"/>
      <c r="J163" s="70"/>
      <c r="K163" s="42"/>
      <c r="L163" s="70"/>
    </row>
    <row r="164" spans="1:12" ht="15" x14ac:dyDescent="0.25">
      <c r="A164" s="23"/>
      <c r="B164" s="15"/>
      <c r="C164" s="11"/>
      <c r="D164" s="6"/>
      <c r="E164" s="40"/>
      <c r="F164" s="70"/>
      <c r="G164" s="70"/>
      <c r="H164" s="70"/>
      <c r="I164" s="70"/>
      <c r="J164" s="70"/>
      <c r="K164" s="42"/>
      <c r="L164" s="70"/>
    </row>
    <row r="165" spans="1:12" ht="15" x14ac:dyDescent="0.25">
      <c r="A165" s="24"/>
      <c r="B165" s="17"/>
      <c r="C165" s="8"/>
      <c r="D165" s="18" t="s">
        <v>32</v>
      </c>
      <c r="E165" s="9"/>
      <c r="F165" s="68">
        <f>SUM(F156:F164)</f>
        <v>810</v>
      </c>
      <c r="G165" s="68">
        <f t="shared" ref="G165:J165" si="55">SUM(G156:G164)</f>
        <v>29.65</v>
      </c>
      <c r="H165" s="68">
        <f t="shared" si="55"/>
        <v>23.68</v>
      </c>
      <c r="I165" s="68">
        <f t="shared" si="55"/>
        <v>120</v>
      </c>
      <c r="J165" s="68">
        <f t="shared" si="55"/>
        <v>811.1</v>
      </c>
      <c r="K165" s="84"/>
      <c r="L165" s="68">
        <f t="shared" ref="L165" si="56">SUM(L156:L164)</f>
        <v>125.03999999999999</v>
      </c>
    </row>
    <row r="166" spans="1:12" ht="15.75" thickBot="1" x14ac:dyDescent="0.25">
      <c r="A166" s="29">
        <f>A149</f>
        <v>2</v>
      </c>
      <c r="B166" s="30">
        <f>B149</f>
        <v>4</v>
      </c>
      <c r="C166" s="114" t="s">
        <v>4</v>
      </c>
      <c r="D166" s="115"/>
      <c r="E166" s="31"/>
      <c r="F166" s="69">
        <f>F155+F165</f>
        <v>1350</v>
      </c>
      <c r="G166" s="69">
        <f t="shared" ref="G166" si="57">G155+G165</f>
        <v>58.989999999999995</v>
      </c>
      <c r="H166" s="69">
        <f t="shared" ref="H166" si="58">H155+H165</f>
        <v>41.56</v>
      </c>
      <c r="I166" s="69">
        <f t="shared" ref="I166" si="59">I155+I165</f>
        <v>248.28999999999996</v>
      </c>
      <c r="J166" s="69">
        <f t="shared" ref="J166:L166" si="60">J155+J165</f>
        <v>1602.31</v>
      </c>
      <c r="K166" s="69"/>
      <c r="L166" s="69">
        <f t="shared" si="60"/>
        <v>250.07999999999998</v>
      </c>
    </row>
    <row r="167" spans="1:12" ht="15.75" x14ac:dyDescent="0.25">
      <c r="A167" s="20">
        <v>2</v>
      </c>
      <c r="B167" s="21">
        <v>5</v>
      </c>
      <c r="C167" s="22" t="s">
        <v>20</v>
      </c>
      <c r="D167" s="5" t="s">
        <v>21</v>
      </c>
      <c r="E167" s="60" t="s">
        <v>138</v>
      </c>
      <c r="F167" s="52">
        <v>200</v>
      </c>
      <c r="G167" s="52">
        <f>F167*14.9/100</f>
        <v>29.8</v>
      </c>
      <c r="H167" s="52">
        <f>F167*15.7/100</f>
        <v>31.4</v>
      </c>
      <c r="I167" s="52">
        <f>F167*4.7/100</f>
        <v>9.4</v>
      </c>
      <c r="J167" s="52">
        <f>F167*221/100</f>
        <v>442</v>
      </c>
      <c r="K167" s="74">
        <v>44236</v>
      </c>
      <c r="L167" s="85">
        <v>93.2</v>
      </c>
    </row>
    <row r="168" spans="1:12" ht="15.75" x14ac:dyDescent="0.25">
      <c r="A168" s="23"/>
      <c r="B168" s="15"/>
      <c r="C168" s="11"/>
      <c r="D168" s="64" t="s">
        <v>29</v>
      </c>
      <c r="E168" s="59" t="s">
        <v>49</v>
      </c>
      <c r="F168" s="52">
        <v>200</v>
      </c>
      <c r="G168" s="52">
        <v>0</v>
      </c>
      <c r="H168" s="52">
        <v>0</v>
      </c>
      <c r="I168" s="52">
        <v>12</v>
      </c>
      <c r="J168" s="52">
        <v>48</v>
      </c>
      <c r="K168" s="82" t="s">
        <v>66</v>
      </c>
      <c r="L168" s="85">
        <v>13.15</v>
      </c>
    </row>
    <row r="169" spans="1:12" ht="15.75" x14ac:dyDescent="0.25">
      <c r="A169" s="23"/>
      <c r="B169" s="15"/>
      <c r="C169" s="11"/>
      <c r="D169" s="7" t="s">
        <v>23</v>
      </c>
      <c r="E169" s="54" t="s">
        <v>43</v>
      </c>
      <c r="F169" s="52">
        <v>50</v>
      </c>
      <c r="G169" s="52">
        <f>SUM(F169*2.37/30)</f>
        <v>3.95</v>
      </c>
      <c r="H169" s="52">
        <f>SUM(F169*0.3/30)</f>
        <v>0.5</v>
      </c>
      <c r="I169" s="52">
        <f>SUM(F169*14.49/30)</f>
        <v>24.15</v>
      </c>
      <c r="J169" s="52">
        <f>SUM(F169*70.14/30)</f>
        <v>116.9</v>
      </c>
      <c r="K169" s="74" t="s">
        <v>56</v>
      </c>
      <c r="L169" s="85">
        <v>3.22</v>
      </c>
    </row>
    <row r="170" spans="1:12" ht="31.5" x14ac:dyDescent="0.25">
      <c r="A170" s="23"/>
      <c r="B170" s="15"/>
      <c r="C170" s="11"/>
      <c r="D170" s="106" t="s">
        <v>25</v>
      </c>
      <c r="E170" s="107" t="s">
        <v>86</v>
      </c>
      <c r="F170" s="52">
        <v>60</v>
      </c>
      <c r="G170" s="52">
        <f>SUM(F170*1.68/30)</f>
        <v>3.36</v>
      </c>
      <c r="H170" s="52">
        <f>SUM(F170*0.33/30)</f>
        <v>0.66</v>
      </c>
      <c r="I170" s="52">
        <f>SUM(F170*14.82/30)</f>
        <v>29.64</v>
      </c>
      <c r="J170" s="52">
        <f>SUM(F170*68.97/30)</f>
        <v>137.94</v>
      </c>
      <c r="K170" s="65" t="s">
        <v>112</v>
      </c>
      <c r="L170" s="70">
        <v>15.47</v>
      </c>
    </row>
    <row r="171" spans="1:12" ht="15" x14ac:dyDescent="0.25">
      <c r="A171" s="23"/>
      <c r="B171" s="15"/>
      <c r="C171" s="11"/>
      <c r="D171" s="6"/>
      <c r="E171" s="40"/>
      <c r="F171" s="70"/>
      <c r="G171" s="70"/>
      <c r="H171" s="70"/>
      <c r="I171" s="70"/>
      <c r="J171" s="70"/>
      <c r="K171" s="42"/>
      <c r="L171" s="70"/>
    </row>
    <row r="172" spans="1:12" ht="15.75" customHeight="1" x14ac:dyDescent="0.25">
      <c r="A172" s="24"/>
      <c r="B172" s="17"/>
      <c r="C172" s="8"/>
      <c r="D172" s="18" t="s">
        <v>32</v>
      </c>
      <c r="E172" s="9"/>
      <c r="F172" s="68">
        <f>SUM(F167:F171)</f>
        <v>510</v>
      </c>
      <c r="G172" s="68">
        <f>SUM(G167:G171)</f>
        <v>37.11</v>
      </c>
      <c r="H172" s="68">
        <f>SUM(H167:H171)</f>
        <v>32.559999999999995</v>
      </c>
      <c r="I172" s="68">
        <f>SUM(I167:I171)</f>
        <v>75.19</v>
      </c>
      <c r="J172" s="68">
        <f>SUM(J167:J171)</f>
        <v>744.83999999999992</v>
      </c>
      <c r="K172" s="25"/>
      <c r="L172" s="68">
        <f>SUM(L167:L171)</f>
        <v>125.04</v>
      </c>
    </row>
    <row r="173" spans="1:12" ht="31.5" x14ac:dyDescent="0.25">
      <c r="A173" s="26">
        <f>A167</f>
        <v>2</v>
      </c>
      <c r="B173" s="13">
        <f>B167</f>
        <v>5</v>
      </c>
      <c r="C173" s="10" t="s">
        <v>24</v>
      </c>
      <c r="D173" s="7" t="s">
        <v>25</v>
      </c>
      <c r="E173" s="57" t="s">
        <v>113</v>
      </c>
      <c r="F173" s="70">
        <v>60</v>
      </c>
      <c r="G173" s="70">
        <v>0.48</v>
      </c>
      <c r="H173" s="70">
        <v>0</v>
      </c>
      <c r="I173" s="70">
        <v>1.44</v>
      </c>
      <c r="J173" s="70">
        <v>7.68</v>
      </c>
      <c r="K173" s="66" t="s">
        <v>128</v>
      </c>
      <c r="L173" s="70">
        <v>9.33</v>
      </c>
    </row>
    <row r="174" spans="1:12" ht="15.75" x14ac:dyDescent="0.25">
      <c r="A174" s="23"/>
      <c r="B174" s="15"/>
      <c r="C174" s="11"/>
      <c r="D174" s="7" t="s">
        <v>26</v>
      </c>
      <c r="E174" s="60" t="s">
        <v>75</v>
      </c>
      <c r="F174" s="70">
        <v>200</v>
      </c>
      <c r="G174" s="70">
        <v>2.04</v>
      </c>
      <c r="H174" s="70">
        <v>4.72</v>
      </c>
      <c r="I174" s="70">
        <v>10.96</v>
      </c>
      <c r="J174" s="70">
        <v>95</v>
      </c>
      <c r="K174" s="66" t="s">
        <v>67</v>
      </c>
      <c r="L174" s="70">
        <v>23.86</v>
      </c>
    </row>
    <row r="175" spans="1:12" ht="15.75" x14ac:dyDescent="0.25">
      <c r="A175" s="23"/>
      <c r="B175" s="15"/>
      <c r="C175" s="11"/>
      <c r="D175" s="7" t="s">
        <v>27</v>
      </c>
      <c r="E175" s="86" t="s">
        <v>139</v>
      </c>
      <c r="F175" s="70">
        <v>180</v>
      </c>
      <c r="G175" s="70">
        <v>11.68</v>
      </c>
      <c r="H175" s="70">
        <v>11.61</v>
      </c>
      <c r="I175" s="70">
        <v>5.76</v>
      </c>
      <c r="J175" s="70">
        <v>175</v>
      </c>
      <c r="K175" s="66" t="s">
        <v>140</v>
      </c>
      <c r="L175" s="70">
        <v>78</v>
      </c>
    </row>
    <row r="176" spans="1:12" ht="15.75" x14ac:dyDescent="0.25">
      <c r="A176" s="23"/>
      <c r="B176" s="15"/>
      <c r="C176" s="11"/>
      <c r="D176" s="7" t="s">
        <v>29</v>
      </c>
      <c r="E176" s="52" t="s">
        <v>53</v>
      </c>
      <c r="F176" s="70">
        <v>200</v>
      </c>
      <c r="G176" s="70">
        <v>1</v>
      </c>
      <c r="H176" s="70">
        <v>0.1</v>
      </c>
      <c r="I176" s="70">
        <v>19.8</v>
      </c>
      <c r="J176" s="70">
        <v>84.1</v>
      </c>
      <c r="K176" s="66" t="s">
        <v>68</v>
      </c>
      <c r="L176" s="70">
        <v>6.78</v>
      </c>
    </row>
    <row r="177" spans="1:12" ht="15.75" x14ac:dyDescent="0.25">
      <c r="A177" s="23"/>
      <c r="B177" s="15"/>
      <c r="C177" s="11"/>
      <c r="D177" s="7" t="s">
        <v>30</v>
      </c>
      <c r="E177" s="54" t="s">
        <v>43</v>
      </c>
      <c r="F177" s="70">
        <v>50</v>
      </c>
      <c r="G177" s="70">
        <v>2.37</v>
      </c>
      <c r="H177" s="70">
        <v>0.3</v>
      </c>
      <c r="I177" s="70">
        <v>14.49</v>
      </c>
      <c r="J177" s="70">
        <v>70.14</v>
      </c>
      <c r="K177" s="74" t="s">
        <v>56</v>
      </c>
      <c r="L177" s="70">
        <v>4.4400000000000004</v>
      </c>
    </row>
    <row r="178" spans="1:12" ht="15.75" x14ac:dyDescent="0.25">
      <c r="A178" s="23"/>
      <c r="B178" s="15"/>
      <c r="C178" s="11"/>
      <c r="D178" s="7" t="s">
        <v>31</v>
      </c>
      <c r="E178" s="51" t="s">
        <v>39</v>
      </c>
      <c r="F178" s="70">
        <v>30</v>
      </c>
      <c r="G178" s="70">
        <v>1.68</v>
      </c>
      <c r="H178" s="70">
        <v>0.33</v>
      </c>
      <c r="I178" s="70">
        <v>14.82</v>
      </c>
      <c r="J178" s="70">
        <v>68.97</v>
      </c>
      <c r="K178" s="74" t="s">
        <v>57</v>
      </c>
      <c r="L178" s="70">
        <v>2.63</v>
      </c>
    </row>
    <row r="179" spans="1:12" ht="15" x14ac:dyDescent="0.25">
      <c r="A179" s="23"/>
      <c r="B179" s="15"/>
      <c r="C179" s="11"/>
      <c r="D179" s="6"/>
      <c r="E179" s="40"/>
      <c r="F179" s="70"/>
      <c r="G179" s="70"/>
      <c r="H179" s="70"/>
      <c r="I179" s="70"/>
      <c r="J179" s="70"/>
      <c r="K179" s="42"/>
      <c r="L179" s="70"/>
    </row>
    <row r="180" spans="1:12" ht="15" x14ac:dyDescent="0.25">
      <c r="A180" s="23"/>
      <c r="B180" s="15"/>
      <c r="C180" s="11"/>
      <c r="D180" s="6"/>
      <c r="E180" s="40"/>
      <c r="F180" s="70"/>
      <c r="G180" s="70"/>
      <c r="H180" s="70"/>
      <c r="I180" s="70"/>
      <c r="J180" s="70"/>
      <c r="K180" s="42"/>
      <c r="L180" s="70"/>
    </row>
    <row r="181" spans="1:12" ht="15" x14ac:dyDescent="0.25">
      <c r="A181" s="24"/>
      <c r="B181" s="17"/>
      <c r="C181" s="8"/>
      <c r="D181" s="18" t="s">
        <v>32</v>
      </c>
      <c r="E181" s="9"/>
      <c r="F181" s="68">
        <f>SUM(F173:F180)</f>
        <v>720</v>
      </c>
      <c r="G181" s="68">
        <f>SUM(G173:G180)</f>
        <v>19.25</v>
      </c>
      <c r="H181" s="68">
        <f>SUM(H173:H180)</f>
        <v>17.059999999999999</v>
      </c>
      <c r="I181" s="68">
        <f>SUM(I173:I180)</f>
        <v>67.27000000000001</v>
      </c>
      <c r="J181" s="68">
        <f>SUM(J173:J180)</f>
        <v>500.89</v>
      </c>
      <c r="K181" s="84"/>
      <c r="L181" s="68">
        <f>SUM(L173:L180)</f>
        <v>125.03999999999999</v>
      </c>
    </row>
    <row r="182" spans="1:12" ht="15" x14ac:dyDescent="0.2">
      <c r="A182" s="29">
        <f>A167</f>
        <v>2</v>
      </c>
      <c r="B182" s="30">
        <f>B167</f>
        <v>5</v>
      </c>
      <c r="C182" s="114" t="s">
        <v>4</v>
      </c>
      <c r="D182" s="115"/>
      <c r="E182" s="31"/>
      <c r="F182" s="69">
        <f>F172+F181</f>
        <v>1230</v>
      </c>
      <c r="G182" s="69">
        <f>G172+G181</f>
        <v>56.36</v>
      </c>
      <c r="H182" s="69">
        <f>H172+H181</f>
        <v>49.61999999999999</v>
      </c>
      <c r="I182" s="69">
        <f>I172+I181</f>
        <v>142.46</v>
      </c>
      <c r="J182" s="69">
        <f>J172+J181</f>
        <v>1245.73</v>
      </c>
      <c r="K182" s="69"/>
      <c r="L182" s="69">
        <f>L172+L181</f>
        <v>250.07999999999998</v>
      </c>
    </row>
    <row r="183" spans="1:12" x14ac:dyDescent="0.2">
      <c r="A183" s="27"/>
      <c r="B183" s="28"/>
      <c r="C183" s="116" t="s">
        <v>5</v>
      </c>
      <c r="D183" s="116"/>
      <c r="E183" s="116"/>
      <c r="F183" s="87">
        <f>(F23+F42+F61+F78+F94+F113+F130+F148+F166+F182)/(IF(F23=0,0,1)+IF(F42=0,0,1)+IF(F61=0,0,1)+IF(F78=0,0,1)+IF(F94=0,0,1)+IF(F113=0,0,1)+IF(F130=0,0,1)+IF(F148=0,0,1)+IF(F166=0,0,1)+IF(F182=0,0,1))</f>
        <v>1344.6</v>
      </c>
      <c r="G183" s="87">
        <f>(G23+G42+G61+G78+G94+G113+G130+G148+G166+G182)/(IF(G23=0,0,1)+IF(G42=0,0,1)+IF(G61=0,0,1)+IF(G78=0,0,1)+IF(G94=0,0,1)+IF(G113=0,0,1)+IF(G130=0,0,1)+IF(G148=0,0,1)+IF(G166=0,0,1)+IF(G182=0,0,1))</f>
        <v>53.095689743589745</v>
      </c>
      <c r="H183" s="87">
        <f>(H23+H42+H61+H78+H94+H113+H130+H148+H166+H182)/(IF(H23=0,0,1)+IF(H42=0,0,1)+IF(H61=0,0,1)+IF(H78=0,0,1)+IF(H94=0,0,1)+IF(H113=0,0,1)+IF(H130=0,0,1)+IF(H148=0,0,1)+IF(H166=0,0,1)+IF(H182=0,0,1))</f>
        <v>47.87808974358974</v>
      </c>
      <c r="I183" s="87">
        <f>(I23+I42+I61+I78+I94+I113+I130+I148+I166+I182)/(IF(I23=0,0,1)+IF(I42=0,0,1)+IF(I61=0,0,1)+IF(I78=0,0,1)+IF(I94=0,0,1)+IF(I113=0,0,1)+IF(I130=0,0,1)+IF(I148=0,0,1)+IF(I166=0,0,1)+IF(I182=0,0,1))</f>
        <v>201.45158974358975</v>
      </c>
      <c r="J183" s="87">
        <f>(J23+J42+J61+J78+J94+J113+J130+J148+J166+J182)/(IF(J23=0,0,1)+IF(J42=0,0,1)+IF(J61=0,0,1)+IF(J78=0,0,1)+IF(J94=0,0,1)+IF(J113=0,0,1)+IF(J130=0,0,1)+IF(J148=0,0,1)+IF(J166=0,0,1)+IF(J182=0,0,1))</f>
        <v>1459.4006307692307</v>
      </c>
      <c r="K183" s="34"/>
      <c r="L183" s="87">
        <f>(L23+L42+L61+L78+L94+L113+L130+L148+L166+L182)/(IF(L23=0,0,1)+IF(L42=0,0,1)+IF(L61=0,0,1)+IF(L78=0,0,1)+IF(L94=0,0,1)+IF(L113=0,0,1)+IF(L130=0,0,1)+IF(L148=0,0,1)+IF(L166=0,0,1)+IF(L182=0,0,1))</f>
        <v>250.07999999999998</v>
      </c>
    </row>
  </sheetData>
  <mergeCells count="14">
    <mergeCell ref="C78:D78"/>
    <mergeCell ref="C94:D94"/>
    <mergeCell ref="C23:D23"/>
    <mergeCell ref="C183:E183"/>
    <mergeCell ref="C182:D182"/>
    <mergeCell ref="C113:D113"/>
    <mergeCell ref="C130:D130"/>
    <mergeCell ref="C148:D148"/>
    <mergeCell ref="C166:D166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HP_school13</cp:lastModifiedBy>
  <cp:lastPrinted>2025-03-11T08:16:01Z</cp:lastPrinted>
  <dcterms:created xsi:type="dcterms:W3CDTF">2022-05-16T14:23:56Z</dcterms:created>
  <dcterms:modified xsi:type="dcterms:W3CDTF">2025-03-11T08:17:21Z</dcterms:modified>
</cp:coreProperties>
</file>